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7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Z:\F u E\9_Altri progetti\40_CCF_Corporate Carbon Footprint\4_IDM\6_Rechner für Südtiroler Betriebe\Endversion 23.10.2024\"/>
    </mc:Choice>
  </mc:AlternateContent>
  <xr:revisionPtr revIDLastSave="0" documentId="8_{328BD6C1-EB42-4D34-B077-249EDB444035}" xr6:coauthVersionLast="47" xr6:coauthVersionMax="47" xr10:uidLastSave="{00000000-0000-0000-0000-000000000000}"/>
  <workbookProtection workbookAlgorithmName="SHA-512" workbookHashValue="ns7mLPbMfRkcBfuFYeOhvQo9eW+kFtf7OvhvLjwGeoSDc3wH4HUeaL17i1axoBtHrm/KsZ++YAwjKIwlFEerFw==" workbookSaltValue="OaBRpjnP+QsLAa3KSdSVrA==" workbookSpinCount="100000" lockStructure="1"/>
  <bookViews>
    <workbookView xWindow="-120" yWindow="-120" windowWidth="29040" windowHeight="15840" tabRatio="641" xr2:uid="{0CC278B2-6E79-4A47-99F6-F16248099621}"/>
  </bookViews>
  <sheets>
    <sheet name="Inizio" sheetId="3" r:id="rId1"/>
    <sheet name="Dati 2024" sheetId="1" r:id="rId2"/>
    <sheet name="Risultati 2024" sheetId="4" r:id="rId3"/>
    <sheet name="Dati 2025" sheetId="21" r:id="rId4"/>
    <sheet name="Risultati 2025" sheetId="22" r:id="rId5"/>
    <sheet name="Dati 2026" sheetId="20" r:id="rId6"/>
    <sheet name="Risultati 2026" sheetId="23" r:id="rId7"/>
    <sheet name="Risultati nel tempo" sheetId="17" r:id="rId8"/>
    <sheet name="Strumento calcolo mix elettrico" sheetId="8" r:id="rId9"/>
    <sheet name="Fattori di emissione" sheetId="6" r:id="rId10"/>
    <sheet name="Teleriscaldamento in AA" sheetId="5" r:id="rId11"/>
    <sheet name="Refrigeranti" sheetId="10" r:id="rId12"/>
    <sheet name="check" sheetId="9" state="hidden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7" l="1"/>
  <c r="C16" i="17"/>
  <c r="B16" i="23"/>
  <c r="B16" i="22"/>
  <c r="Q28" i="23"/>
  <c r="S39" i="23"/>
  <c r="S39" i="22"/>
  <c r="C147" i="21"/>
  <c r="E126" i="21"/>
  <c r="E125" i="21"/>
  <c r="M124" i="21"/>
  <c r="K124" i="21"/>
  <c r="E124" i="21"/>
  <c r="C146" i="21" s="1"/>
  <c r="C15" i="17" s="1"/>
  <c r="D124" i="21"/>
  <c r="E119" i="21"/>
  <c r="C145" i="21" s="1"/>
  <c r="D119" i="21"/>
  <c r="E117" i="21"/>
  <c r="E115" i="21"/>
  <c r="C144" i="21" s="1"/>
  <c r="B13" i="22" s="1"/>
  <c r="D115" i="21"/>
  <c r="E106" i="21"/>
  <c r="E104" i="21"/>
  <c r="D104" i="21"/>
  <c r="E103" i="21"/>
  <c r="D103" i="21"/>
  <c r="E102" i="21"/>
  <c r="D102" i="21"/>
  <c r="E101" i="21"/>
  <c r="D101" i="21"/>
  <c r="E100" i="21"/>
  <c r="D100" i="21"/>
  <c r="E99" i="21"/>
  <c r="D99" i="21"/>
  <c r="E98" i="21"/>
  <c r="D98" i="21"/>
  <c r="E97" i="21"/>
  <c r="D97" i="21"/>
  <c r="E96" i="21"/>
  <c r="D96" i="21"/>
  <c r="K95" i="21"/>
  <c r="E95" i="21"/>
  <c r="D95" i="21"/>
  <c r="K94" i="21"/>
  <c r="E94" i="21"/>
  <c r="D94" i="21"/>
  <c r="K93" i="21"/>
  <c r="E93" i="21"/>
  <c r="D93" i="21"/>
  <c r="E92" i="21"/>
  <c r="D92" i="21"/>
  <c r="E91" i="21"/>
  <c r="D91" i="21"/>
  <c r="E90" i="21"/>
  <c r="D90" i="21"/>
  <c r="E89" i="21"/>
  <c r="D89" i="21"/>
  <c r="E88" i="21"/>
  <c r="D88" i="21"/>
  <c r="E87" i="21"/>
  <c r="D87" i="21"/>
  <c r="E86" i="21"/>
  <c r="D86" i="21"/>
  <c r="E85" i="21"/>
  <c r="D85" i="21"/>
  <c r="E84" i="21"/>
  <c r="D84" i="21"/>
  <c r="E83" i="21"/>
  <c r="D83" i="21"/>
  <c r="E82" i="21"/>
  <c r="D82" i="21"/>
  <c r="E81" i="21"/>
  <c r="D81" i="21"/>
  <c r="E80" i="21"/>
  <c r="D80" i="21"/>
  <c r="E79" i="21"/>
  <c r="D79" i="21"/>
  <c r="E78" i="21"/>
  <c r="D78" i="21"/>
  <c r="E77" i="21"/>
  <c r="D77" i="21"/>
  <c r="E76" i="21"/>
  <c r="D76" i="21"/>
  <c r="E75" i="21"/>
  <c r="D75" i="21"/>
  <c r="E74" i="21"/>
  <c r="D74" i="21"/>
  <c r="E73" i="21"/>
  <c r="D73" i="21"/>
  <c r="E72" i="21"/>
  <c r="D72" i="21"/>
  <c r="E71" i="21"/>
  <c r="D71" i="21"/>
  <c r="E70" i="21"/>
  <c r="D70" i="21"/>
  <c r="E69" i="21"/>
  <c r="D69" i="21"/>
  <c r="E68" i="21"/>
  <c r="D68" i="21"/>
  <c r="E67" i="21"/>
  <c r="D67" i="21"/>
  <c r="E66" i="21"/>
  <c r="D66" i="21"/>
  <c r="E62" i="21"/>
  <c r="E61" i="21"/>
  <c r="E60" i="21"/>
  <c r="E58" i="21"/>
  <c r="E56" i="21"/>
  <c r="D56" i="21"/>
  <c r="E55" i="21"/>
  <c r="D55" i="21"/>
  <c r="E54" i="21"/>
  <c r="D54" i="21"/>
  <c r="E53" i="21"/>
  <c r="D53" i="21"/>
  <c r="E52" i="21"/>
  <c r="D52" i="21"/>
  <c r="E51" i="21"/>
  <c r="D51" i="21"/>
  <c r="E50" i="21"/>
  <c r="D50" i="21"/>
  <c r="E49" i="21"/>
  <c r="D49" i="21"/>
  <c r="E48" i="21"/>
  <c r="D48" i="21"/>
  <c r="E47" i="21"/>
  <c r="D47" i="21"/>
  <c r="E42" i="21"/>
  <c r="E41" i="21"/>
  <c r="K40" i="21"/>
  <c r="E40" i="21"/>
  <c r="D40" i="21"/>
  <c r="K39" i="21"/>
  <c r="E39" i="21"/>
  <c r="D39" i="21"/>
  <c r="K38" i="21"/>
  <c r="E38" i="21"/>
  <c r="D38" i="21"/>
  <c r="E33" i="21"/>
  <c r="E32" i="21"/>
  <c r="E31" i="21"/>
  <c r="L29" i="21"/>
  <c r="K29" i="21"/>
  <c r="E29" i="21"/>
  <c r="D29" i="21"/>
  <c r="L28" i="21"/>
  <c r="K28" i="21"/>
  <c r="E28" i="21"/>
  <c r="D28" i="21"/>
  <c r="L27" i="21"/>
  <c r="K27" i="21"/>
  <c r="E27" i="21"/>
  <c r="D27" i="21"/>
  <c r="L26" i="21"/>
  <c r="K26" i="21"/>
  <c r="E26" i="21"/>
  <c r="D26" i="21"/>
  <c r="L25" i="21"/>
  <c r="K25" i="21"/>
  <c r="E25" i="21"/>
  <c r="D25" i="21"/>
  <c r="L24" i="21"/>
  <c r="K24" i="21"/>
  <c r="E24" i="21"/>
  <c r="D24" i="21"/>
  <c r="L23" i="21"/>
  <c r="K23" i="21"/>
  <c r="E23" i="21"/>
  <c r="D23" i="21"/>
  <c r="L22" i="21"/>
  <c r="K22" i="21"/>
  <c r="E22" i="21"/>
  <c r="D22" i="21"/>
  <c r="L21" i="21"/>
  <c r="K21" i="21"/>
  <c r="E21" i="21"/>
  <c r="D21" i="21"/>
  <c r="L20" i="21"/>
  <c r="K20" i="21"/>
  <c r="E20" i="21"/>
  <c r="D20" i="21"/>
  <c r="L19" i="21"/>
  <c r="K19" i="21"/>
  <c r="E19" i="21"/>
  <c r="D19" i="21"/>
  <c r="E126" i="20"/>
  <c r="C147" i="20" s="1"/>
  <c r="E125" i="20"/>
  <c r="M124" i="20"/>
  <c r="K124" i="20"/>
  <c r="E124" i="20"/>
  <c r="C146" i="20" s="1"/>
  <c r="B15" i="23" s="1"/>
  <c r="D124" i="20"/>
  <c r="E119" i="20"/>
  <c r="C145" i="20" s="1"/>
  <c r="B14" i="23" s="1"/>
  <c r="S37" i="23" s="1"/>
  <c r="D119" i="20"/>
  <c r="E117" i="20"/>
  <c r="E115" i="20"/>
  <c r="C144" i="20" s="1"/>
  <c r="D13" i="17" s="1"/>
  <c r="D115" i="20"/>
  <c r="E106" i="20"/>
  <c r="E104" i="20"/>
  <c r="D104" i="20"/>
  <c r="E103" i="20"/>
  <c r="D103" i="20"/>
  <c r="E102" i="20"/>
  <c r="D102" i="20"/>
  <c r="E101" i="20"/>
  <c r="D101" i="20"/>
  <c r="E100" i="20"/>
  <c r="D100" i="20"/>
  <c r="E99" i="20"/>
  <c r="D99" i="20"/>
  <c r="E98" i="20"/>
  <c r="D98" i="20"/>
  <c r="E97" i="20"/>
  <c r="D97" i="20"/>
  <c r="E96" i="20"/>
  <c r="D96" i="20"/>
  <c r="K95" i="20"/>
  <c r="E95" i="20"/>
  <c r="D95" i="20"/>
  <c r="K94" i="20"/>
  <c r="E94" i="20"/>
  <c r="D94" i="20"/>
  <c r="K93" i="20"/>
  <c r="E93" i="20"/>
  <c r="D93" i="20"/>
  <c r="E92" i="20"/>
  <c r="D92" i="20"/>
  <c r="E91" i="20"/>
  <c r="D91" i="20"/>
  <c r="E90" i="20"/>
  <c r="D90" i="20"/>
  <c r="E89" i="20"/>
  <c r="D89" i="20"/>
  <c r="E88" i="20"/>
  <c r="D88" i="20"/>
  <c r="E87" i="20"/>
  <c r="D87" i="20"/>
  <c r="E86" i="20"/>
  <c r="D86" i="20"/>
  <c r="E85" i="20"/>
  <c r="D85" i="20"/>
  <c r="E84" i="20"/>
  <c r="D84" i="20"/>
  <c r="E83" i="20"/>
  <c r="D83" i="20"/>
  <c r="E82" i="20"/>
  <c r="D82" i="20"/>
  <c r="E81" i="20"/>
  <c r="D81" i="20"/>
  <c r="E80" i="20"/>
  <c r="D80" i="20"/>
  <c r="E79" i="20"/>
  <c r="D79" i="20"/>
  <c r="E78" i="20"/>
  <c r="D78" i="20"/>
  <c r="E77" i="20"/>
  <c r="D77" i="20"/>
  <c r="E76" i="20"/>
  <c r="D76" i="20"/>
  <c r="E75" i="20"/>
  <c r="D75" i="20"/>
  <c r="E74" i="20"/>
  <c r="D74" i="20"/>
  <c r="E73" i="20"/>
  <c r="D73" i="20"/>
  <c r="E72" i="20"/>
  <c r="D72" i="20"/>
  <c r="E71" i="20"/>
  <c r="D71" i="20"/>
  <c r="E70" i="20"/>
  <c r="D70" i="20"/>
  <c r="E69" i="20"/>
  <c r="D69" i="20"/>
  <c r="E68" i="20"/>
  <c r="D68" i="20"/>
  <c r="E67" i="20"/>
  <c r="D67" i="20"/>
  <c r="E66" i="20"/>
  <c r="D66" i="20"/>
  <c r="E62" i="20"/>
  <c r="E61" i="20"/>
  <c r="E60" i="20"/>
  <c r="E58" i="20"/>
  <c r="E56" i="20"/>
  <c r="D56" i="20"/>
  <c r="E55" i="20"/>
  <c r="D55" i="20"/>
  <c r="E54" i="20"/>
  <c r="D54" i="20"/>
  <c r="E53" i="20"/>
  <c r="D53" i="20"/>
  <c r="E52" i="20"/>
  <c r="D52" i="20"/>
  <c r="E51" i="20"/>
  <c r="D51" i="20"/>
  <c r="E50" i="20"/>
  <c r="D50" i="20"/>
  <c r="E49" i="20"/>
  <c r="D49" i="20"/>
  <c r="E48" i="20"/>
  <c r="D48" i="20"/>
  <c r="E47" i="20"/>
  <c r="D47" i="20"/>
  <c r="E42" i="20"/>
  <c r="E41" i="20"/>
  <c r="K40" i="20"/>
  <c r="E40" i="20"/>
  <c r="D40" i="20"/>
  <c r="K39" i="20"/>
  <c r="E39" i="20"/>
  <c r="D39" i="20"/>
  <c r="K38" i="20"/>
  <c r="E38" i="20"/>
  <c r="D38" i="20"/>
  <c r="E33" i="20"/>
  <c r="E32" i="20"/>
  <c r="E31" i="20"/>
  <c r="L29" i="20"/>
  <c r="K29" i="20"/>
  <c r="E29" i="20"/>
  <c r="D29" i="20"/>
  <c r="L28" i="20"/>
  <c r="K28" i="20"/>
  <c r="E28" i="20"/>
  <c r="D28" i="20"/>
  <c r="L27" i="20"/>
  <c r="K27" i="20"/>
  <c r="E27" i="20"/>
  <c r="D27" i="20"/>
  <c r="L26" i="20"/>
  <c r="K26" i="20"/>
  <c r="E26" i="20"/>
  <c r="D26" i="20"/>
  <c r="L25" i="20"/>
  <c r="K25" i="20"/>
  <c r="E25" i="20"/>
  <c r="D25" i="20"/>
  <c r="L24" i="20"/>
  <c r="K24" i="20"/>
  <c r="E24" i="20"/>
  <c r="D24" i="20"/>
  <c r="L23" i="20"/>
  <c r="K23" i="20"/>
  <c r="E23" i="20"/>
  <c r="D23" i="20"/>
  <c r="L22" i="20"/>
  <c r="K22" i="20"/>
  <c r="E22" i="20"/>
  <c r="D22" i="20"/>
  <c r="L21" i="20"/>
  <c r="K21" i="20"/>
  <c r="E21" i="20"/>
  <c r="D21" i="20"/>
  <c r="L20" i="20"/>
  <c r="K20" i="20"/>
  <c r="E20" i="20"/>
  <c r="D20" i="20"/>
  <c r="L19" i="20"/>
  <c r="K19" i="20"/>
  <c r="E19" i="20"/>
  <c r="D19" i="20"/>
  <c r="E56" i="1"/>
  <c r="M124" i="1"/>
  <c r="E125" i="1"/>
  <c r="E126" i="1"/>
  <c r="E106" i="1"/>
  <c r="D54" i="1"/>
  <c r="E54" i="1" s="1"/>
  <c r="D55" i="1"/>
  <c r="E55" i="1" s="1"/>
  <c r="D56" i="1"/>
  <c r="E61" i="1"/>
  <c r="E62" i="1"/>
  <c r="E60" i="1"/>
  <c r="E42" i="1"/>
  <c r="E33" i="1"/>
  <c r="E32" i="1"/>
  <c r="E31" i="1"/>
  <c r="K29" i="1"/>
  <c r="K28" i="1"/>
  <c r="K27" i="1"/>
  <c r="K26" i="1"/>
  <c r="K25" i="1"/>
  <c r="D25" i="1" s="1"/>
  <c r="K22" i="1"/>
  <c r="K20" i="1"/>
  <c r="L24" i="1"/>
  <c r="K24" i="1"/>
  <c r="D24" i="1" s="1"/>
  <c r="K39" i="1"/>
  <c r="K40" i="1"/>
  <c r="K38" i="1"/>
  <c r="D14" i="17" l="1"/>
  <c r="C138" i="20"/>
  <c r="B14" i="22"/>
  <c r="S37" i="22" s="1"/>
  <c r="C14" i="17"/>
  <c r="C13" i="17"/>
  <c r="C138" i="21"/>
  <c r="B13" i="23"/>
  <c r="S25" i="23" s="1"/>
  <c r="C139" i="20"/>
  <c r="D7" i="17" s="1"/>
  <c r="C139" i="21"/>
  <c r="C7" i="17" s="1"/>
  <c r="S27" i="23"/>
  <c r="B15" i="22"/>
  <c r="S27" i="22" s="1"/>
  <c r="D15" i="17"/>
  <c r="B18" i="22"/>
  <c r="R5" i="22" s="1"/>
  <c r="C142" i="21"/>
  <c r="C137" i="21"/>
  <c r="C137" i="20"/>
  <c r="S38" i="23"/>
  <c r="S26" i="23"/>
  <c r="S26" i="22"/>
  <c r="S25" i="22"/>
  <c r="Q26" i="23"/>
  <c r="Q27" i="23"/>
  <c r="S28" i="23"/>
  <c r="Q26" i="22"/>
  <c r="Q28" i="22"/>
  <c r="S28" i="22"/>
  <c r="C143" i="21"/>
  <c r="C142" i="20"/>
  <c r="C143" i="20"/>
  <c r="E25" i="1"/>
  <c r="E24" i="1"/>
  <c r="C147" i="1"/>
  <c r="E117" i="1"/>
  <c r="E119" i="1"/>
  <c r="C145" i="1" s="1"/>
  <c r="E115" i="1"/>
  <c r="C143" i="1" s="1"/>
  <c r="D119" i="1"/>
  <c r="K124" i="1"/>
  <c r="D124" i="1" s="1"/>
  <c r="B24" i="6"/>
  <c r="R18" i="22" l="1"/>
  <c r="D6" i="17"/>
  <c r="B6" i="23"/>
  <c r="C141" i="21"/>
  <c r="C12" i="17"/>
  <c r="B12" i="22"/>
  <c r="C6" i="17"/>
  <c r="B6" i="22"/>
  <c r="C141" i="20"/>
  <c r="D12" i="17"/>
  <c r="B12" i="23"/>
  <c r="B18" i="23"/>
  <c r="B7" i="23"/>
  <c r="S35" i="23" s="1"/>
  <c r="B7" i="22"/>
  <c r="S24" i="22" s="1"/>
  <c r="Q27" i="22"/>
  <c r="S38" i="22"/>
  <c r="C136" i="20"/>
  <c r="B5" i="23"/>
  <c r="D5" i="17"/>
  <c r="C136" i="21"/>
  <c r="C5" i="17"/>
  <c r="B5" i="22"/>
  <c r="B16" i="17"/>
  <c r="C144" i="1"/>
  <c r="B12" i="4"/>
  <c r="Q25" i="4" s="1"/>
  <c r="B12" i="17"/>
  <c r="B14" i="4"/>
  <c r="Q26" i="4" s="1"/>
  <c r="B14" i="17"/>
  <c r="E124" i="1"/>
  <c r="C146" i="1" s="1"/>
  <c r="E58" i="1"/>
  <c r="Q23" i="23" l="1"/>
  <c r="S23" i="23"/>
  <c r="S34" i="23"/>
  <c r="Q25" i="22"/>
  <c r="S36" i="22"/>
  <c r="B17" i="22"/>
  <c r="S23" i="22"/>
  <c r="S34" i="22"/>
  <c r="Q23" i="22"/>
  <c r="Q24" i="22"/>
  <c r="R18" i="23"/>
  <c r="R5" i="23"/>
  <c r="Q25" i="23"/>
  <c r="S36" i="23"/>
  <c r="B17" i="23"/>
  <c r="S24" i="23"/>
  <c r="Q24" i="23"/>
  <c r="S35" i="22"/>
  <c r="S22" i="23"/>
  <c r="Q22" i="23"/>
  <c r="S33" i="23"/>
  <c r="B8" i="23"/>
  <c r="S33" i="22"/>
  <c r="B8" i="22"/>
  <c r="S22" i="22"/>
  <c r="Q22" i="22"/>
  <c r="B15" i="17"/>
  <c r="B17" i="17" s="1"/>
  <c r="B13" i="4"/>
  <c r="S25" i="4" s="1"/>
  <c r="D8" i="17"/>
  <c r="C8" i="17"/>
  <c r="B13" i="17"/>
  <c r="S36" i="4"/>
  <c r="C17" i="17"/>
  <c r="T5" i="17" s="1"/>
  <c r="C18" i="17"/>
  <c r="T12" i="17" s="1"/>
  <c r="D17" i="17"/>
  <c r="D18" i="17"/>
  <c r="T13" i="17" s="1"/>
  <c r="S37" i="4"/>
  <c r="S26" i="4"/>
  <c r="K95" i="1"/>
  <c r="K94" i="1"/>
  <c r="K93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42" i="6"/>
  <c r="D43" i="6"/>
  <c r="D32" i="6"/>
  <c r="D38" i="6"/>
  <c r="L29" i="1"/>
  <c r="L28" i="1"/>
  <c r="L27" i="1"/>
  <c r="L26" i="1"/>
  <c r="L25" i="1"/>
  <c r="L23" i="1"/>
  <c r="L22" i="1"/>
  <c r="L21" i="1"/>
  <c r="L20" i="1"/>
  <c r="L19" i="1"/>
  <c r="E29" i="1"/>
  <c r="R4" i="22" l="1"/>
  <c r="R15" i="22"/>
  <c r="Q36" i="22"/>
  <c r="R15" i="23"/>
  <c r="Q36" i="23"/>
  <c r="R4" i="23"/>
  <c r="B23" i="22"/>
  <c r="B22" i="22"/>
  <c r="Q15" i="22"/>
  <c r="Q4" i="22"/>
  <c r="Q33" i="22"/>
  <c r="Q5" i="22"/>
  <c r="Q18" i="22"/>
  <c r="S12" i="17"/>
  <c r="C23" i="17"/>
  <c r="C22" i="17"/>
  <c r="Q5" i="23"/>
  <c r="B23" i="23"/>
  <c r="B22" i="23"/>
  <c r="Q4" i="23"/>
  <c r="Q33" i="23"/>
  <c r="Q18" i="23"/>
  <c r="Q15" i="23"/>
  <c r="S13" i="17"/>
  <c r="D22" i="17"/>
  <c r="D23" i="17"/>
  <c r="B18" i="17"/>
  <c r="T11" i="17" s="1"/>
  <c r="S6" i="17"/>
  <c r="S5" i="17"/>
  <c r="T6" i="17"/>
  <c r="T4" i="17"/>
  <c r="B15" i="4"/>
  <c r="S27" i="4" s="1"/>
  <c r="D29" i="1"/>
  <c r="E28" i="1"/>
  <c r="B16" i="4"/>
  <c r="D115" i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47" i="1"/>
  <c r="E47" i="1" s="1"/>
  <c r="D11" i="8"/>
  <c r="D7" i="8"/>
  <c r="D8" i="8"/>
  <c r="D9" i="8"/>
  <c r="D10" i="8"/>
  <c r="D6" i="8"/>
  <c r="G11" i="8"/>
  <c r="H11" i="8" s="1"/>
  <c r="H7" i="8"/>
  <c r="H8" i="8"/>
  <c r="H9" i="8"/>
  <c r="H10" i="8"/>
  <c r="H6" i="8"/>
  <c r="E27" i="1"/>
  <c r="D26" i="1"/>
  <c r="K23" i="1"/>
  <c r="D23" i="1" s="1"/>
  <c r="D22" i="1"/>
  <c r="K21" i="1"/>
  <c r="D21" i="1" s="1"/>
  <c r="E20" i="1"/>
  <c r="K19" i="1"/>
  <c r="E19" i="1" s="1"/>
  <c r="D28" i="1"/>
  <c r="E41" i="1"/>
  <c r="E39" i="1"/>
  <c r="E40" i="1"/>
  <c r="E66" i="1"/>
  <c r="D38" i="1"/>
  <c r="C13" i="8"/>
  <c r="S39" i="4" l="1"/>
  <c r="S28" i="4"/>
  <c r="Q27" i="4"/>
  <c r="S38" i="4"/>
  <c r="D27" i="1"/>
  <c r="C141" i="1"/>
  <c r="C142" i="1"/>
  <c r="B18" i="4"/>
  <c r="Q28" i="4"/>
  <c r="E26" i="1"/>
  <c r="D40" i="1"/>
  <c r="E23" i="1"/>
  <c r="E22" i="1"/>
  <c r="E21" i="1"/>
  <c r="D20" i="1"/>
  <c r="D16" i="8"/>
  <c r="C138" i="1" s="1"/>
  <c r="E38" i="1"/>
  <c r="C139" i="1" s="1"/>
  <c r="D39" i="1"/>
  <c r="D19" i="1"/>
  <c r="D66" i="1"/>
  <c r="R5" i="4" l="1"/>
  <c r="R18" i="4"/>
  <c r="B6" i="4"/>
  <c r="Q23" i="4" s="1"/>
  <c r="B6" i="17"/>
  <c r="B7" i="4"/>
  <c r="B7" i="17"/>
  <c r="C137" i="1"/>
  <c r="B17" i="4"/>
  <c r="Q36" i="4" l="1"/>
  <c r="S34" i="4"/>
  <c r="S23" i="4"/>
  <c r="S35" i="4"/>
  <c r="S24" i="4"/>
  <c r="Q24" i="4"/>
  <c r="C136" i="1"/>
  <c r="B5" i="17"/>
  <c r="B8" i="17" s="1"/>
  <c r="B5" i="4"/>
  <c r="S22" i="4" s="1"/>
  <c r="R15" i="4"/>
  <c r="R4" i="4"/>
  <c r="S11" i="17" l="1"/>
  <c r="S4" i="17"/>
  <c r="B23" i="17"/>
  <c r="B22" i="17"/>
  <c r="Q22" i="4"/>
  <c r="S33" i="4"/>
  <c r="B8" i="4"/>
  <c r="Q18" i="4" l="1"/>
  <c r="B22" i="4"/>
  <c r="Q5" i="4"/>
  <c r="Q15" i="4"/>
  <c r="Q4" i="4"/>
  <c r="B23" i="4"/>
  <c r="Q33" i="4"/>
</calcChain>
</file>

<file path=xl/sharedStrings.xml><?xml version="1.0" encoding="utf-8"?>
<sst xmlns="http://schemas.openxmlformats.org/spreadsheetml/2006/main" count="1674" uniqueCount="267">
  <si>
    <t>Calcolatore dei gas serra per le aziende altoatesine</t>
  </si>
  <si>
    <t>Versione 1 (23.10.2024)</t>
  </si>
  <si>
    <t>Generale</t>
  </si>
  <si>
    <t>La contabilità dei gas serra sta diventando sempre più importante per le aziende. È quindi consigliabile raccogliere i dati rilevanti in modo sistematico e annuale. Questo calcolatore ha lo scopo di aiutarti a individuare e registrare i dati essenziali per poter predisporre in modo ottimale il calcolo. Una raccolta dati accurata e completa è fondamentale per una contabilità efficace dei gas serra.</t>
  </si>
  <si>
    <t>Si consiglia di effettuare una raccolta dati completa, anche se per alcune fonti energetiche i fattori di emissione  potrebbero non essere ancora disponibili e quindi non ancora presi in considerazione. In questo caso è particolarmente importante mantenere il dovere di diligenza di ciascuna azienda.</t>
  </si>
  <si>
    <t xml:space="preserve"> Scope 1</t>
  </si>
  <si>
    <t>L'ambito 1 comprende tutte le fonti energetiche che utilizzi direttamente in loco nella tua azienda. Le abbiamo suddivise in “fonti energetiche stazionarie” e “fonti energetiche mobili”. Le prime includono le fonti energetiche che utilizzi per riscaldare gli edifici e far funzionare macchine e processi. Le “fonti energetiche mobili” derivano dalla vostra flotta di veicoli. Non vengono qui riportati i trasporti delle ditte esterne e gli spostamenti dei dipendenti, in quanto entrambi registrati nell'ambito 3 (Scope 3).</t>
  </si>
  <si>
    <t>Nell'ambito 1 vengono registrati anche i “refrigeranti” e i “gas volatili”. I refrigeranti includono, ad esempio, clorofluorocarburi (CFC), idrocarburi parzialmente fluorurati (HFC), ammoniaca (NH₃), anidride carbonica (CO₂) e propano (R290). Inserisci solo la quantità che è stata rifornita durante il periodo di riferimento.</t>
  </si>
  <si>
    <t>Scope 2</t>
  </si>
  <si>
    <t>L'ambito 2 include l'energia acquistata le cui emissioni produttive non sono generate dalla tua azienda. Questi includono tipicamente l’elettricità, nonché il teleriscaldamento o il raffreddamento. Durante la raccolta dei dati è possibile inserire l'“elettricità verde”. Controlla il certificato del tuo fornitore di energia elettrica per "elettricità al 100% da fonti energetiche rinnovabili". Se hai effettuato la ricarica esterna della tua auto elettrica (non inclusa nella bolletta elettrica totale), ti preghiamo di indicarlo separatamente.</t>
  </si>
  <si>
    <t xml:space="preserve"> Informazioni generali</t>
  </si>
  <si>
    <t>Spiegazioni</t>
  </si>
  <si>
    <t>Berechnung</t>
  </si>
  <si>
    <t>Azienda</t>
  </si>
  <si>
    <t>Prodotto, tipo di servizio</t>
  </si>
  <si>
    <t>Numero di sedi (gruppo consolidato)</t>
  </si>
  <si>
    <t>Numero di dipendenti</t>
  </si>
  <si>
    <t>Utile netto (in euro)</t>
  </si>
  <si>
    <t>Periodo di riferimento (anno solare, esercizio finanziario)</t>
  </si>
  <si>
    <t>Data di raccolta dei dati</t>
  </si>
  <si>
    <t>Scope 1</t>
  </si>
  <si>
    <t>unità</t>
  </si>
  <si>
    <t xml:space="preserve"> Si prega di specificare sempre l'unità di misura. È possibile selezionare diverse unità.</t>
  </si>
  <si>
    <t>Fonti energetiche stazionarie (edifici e impianti)</t>
  </si>
  <si>
    <t>Descrizione del combustibile</t>
  </si>
  <si>
    <t>Unità</t>
  </si>
  <si>
    <t>Quantità</t>
  </si>
  <si>
    <t>Fattore di emissione [kg CO2e/unità]</t>
  </si>
  <si>
    <t>Emissioni [kg CO2e]</t>
  </si>
  <si>
    <t>fonte</t>
  </si>
  <si>
    <t>Dove sono stati presi i valori? Ad esempio: fattura, contatore, contabilità o preventivo</t>
  </si>
  <si>
    <t>Emissionsfaktor</t>
  </si>
  <si>
    <t>Einheit</t>
  </si>
  <si>
    <t>Quelle</t>
  </si>
  <si>
    <t>Gas naturale</t>
  </si>
  <si>
    <t>kWh</t>
  </si>
  <si>
    <t>siehe Tabellenblatt Emissionsfaktoren</t>
  </si>
  <si>
    <t>Gas liquefatto</t>
  </si>
  <si>
    <t>kg</t>
  </si>
  <si>
    <t>Propano</t>
  </si>
  <si>
    <t>m3</t>
  </si>
  <si>
    <t>Gasolio da riscaldamento</t>
  </si>
  <si>
    <t>Biometano (biogas)</t>
  </si>
  <si>
    <t>Olio biologico</t>
  </si>
  <si>
    <t>Legna da ardere</t>
  </si>
  <si>
    <t>Pellet di legno</t>
  </si>
  <si>
    <t>Trucioli di legno</t>
  </si>
  <si>
    <t>msr</t>
  </si>
  <si>
    <t>Idrogeno grigio (da fonti fossili)</t>
  </si>
  <si>
    <t>Idrogeno verde (da elettricità verde al 100%)</t>
  </si>
  <si>
    <r>
      <t xml:space="preserve">Altro: </t>
    </r>
    <r>
      <rPr>
        <i/>
        <sz val="11"/>
        <color theme="1"/>
        <rFont val="Aptos Narrow"/>
        <family val="2"/>
        <scheme val="minor"/>
      </rPr>
      <t>si prega di indicare i dettagli</t>
    </r>
  </si>
  <si>
    <t xml:space="preserve"> Inserisci la descrizione, l'unità, la quantità di consumo e il fattore di emissione specifico</t>
  </si>
  <si>
    <t>Refrigeranti/gas volatili</t>
  </si>
  <si>
    <t>Nome del refrigerante/gas volatile</t>
  </si>
  <si>
    <t>Fattore di emissione [kg CO2e/kg]</t>
  </si>
  <si>
    <t>quantità di gas</t>
  </si>
  <si>
    <r>
      <t>Esempio R-290 o R409A. Indicare solo la quantità ricaricata in sede di manutenzione (corrisponde a una perdita incontrollata).</t>
    </r>
    <r>
      <rPr>
        <b/>
        <sz val="11"/>
        <color theme="1"/>
        <rFont val="Aptos Narrow"/>
        <family val="2"/>
        <scheme val="minor"/>
      </rPr>
      <t>Dal 2025 saranno vietati i refrigeranti con un fattore di emissione (GWP) &gt;750. I sistemi esistenti possono continuare a funzionare, ma non possono più essere ricaricati.</t>
    </r>
  </si>
  <si>
    <t>prego selezionare dall'elenco</t>
  </si>
  <si>
    <t>kg CO2/kg</t>
  </si>
  <si>
    <t>Quelle: Bundesamt für Umwelt BAFU - Übersicht über die wichtigsten Kältemittel 2020
Abteilung Luftreinhaltung und Chemikalien</t>
  </si>
  <si>
    <t>Fonti energetiche mobili (parco veicoli)</t>
  </si>
  <si>
    <t>parco veicoli</t>
  </si>
  <si>
    <t>Trasferte con automezzi di proprietà o in leasing</t>
  </si>
  <si>
    <t>Quantità di carburante</t>
  </si>
  <si>
    <t>Benzina</t>
  </si>
  <si>
    <t>litri</t>
  </si>
  <si>
    <t>quantità vs. distanza</t>
  </si>
  <si>
    <t>ATTENZIONE: evitare doppi conteggi. Se sono presenti più veicoli per classe di veicolo, indicare il numero totale di chilometri percorsi e il carburante</t>
  </si>
  <si>
    <t>kg CO2e/l</t>
  </si>
  <si>
    <t>Gemis 5.1</t>
  </si>
  <si>
    <t>Diesel</t>
  </si>
  <si>
    <t>Biodiesel</t>
  </si>
  <si>
    <t xml:space="preserve">Kraftstoff-VO neu (gültig ab 2013), Umweltbundesamt.at
Umrechnung (https://secure.umweltbundesamt.at/co2mon/co2mon.html) </t>
  </si>
  <si>
    <t>Bioetanolo</t>
  </si>
  <si>
    <t>Biometano</t>
  </si>
  <si>
    <t>kg CO2e/kg</t>
  </si>
  <si>
    <t>Energiebericht Online - Energieinstitut Vorarlberg</t>
  </si>
  <si>
    <t>Gas naturale (GNC)</t>
  </si>
  <si>
    <t>International Energy Agency (IEA) - CO2 Emissions from Fuel Combustion</t>
  </si>
  <si>
    <t>GPL (GPL)</t>
  </si>
  <si>
    <t>Greenpeace Energy - Kurzstudie BLAUER WASSERSTOFF: PERSPEKTIVEN UND GRENZEN EINES NEUEN TECHNOLOGIEPFADES. https://green-planet-energy.de/fileadmin/docs/publikationen/Studien/blauer-wasserstoff-studie-2020.pdf</t>
  </si>
  <si>
    <t>Elettricità per i veicoli (da stazioni di ricarica proprie)</t>
  </si>
  <si>
    <t>elettricità per i propri veicoli</t>
  </si>
  <si>
    <t>Compilare solo se la ricarica avviene internamente tramite stazioni di ricarica/wallbox ecc. e i corrispondenti valori di consumo di questi dispositivi vengono registrati separatamente. Altrimenti questo dato è registrato dal consumo generale di energia elettrica.</t>
  </si>
  <si>
    <t>kg CO2/kWh</t>
  </si>
  <si>
    <t>ISPRA, 2022</t>
  </si>
  <si>
    <t>Elettricità verde certificata?</t>
  </si>
  <si>
    <t>NO</t>
  </si>
  <si>
    <t>Fattore di emissione da contratto di fornitura</t>
  </si>
  <si>
    <t>Se la quantità di carburante non è disponibile o è incompleta, inserisci i chilometri percorsi. ATTENZIONE: evitare doppi conteggi!</t>
  </si>
  <si>
    <t>Distanza percorsa</t>
  </si>
  <si>
    <t>Fattore di emissione [kg CO2e/km]</t>
  </si>
  <si>
    <t>Auto: benzina</t>
  </si>
  <si>
    <t>km</t>
  </si>
  <si>
    <t>CO2 2021 kg/km</t>
  </si>
  <si>
    <t>ISPRA</t>
  </si>
  <si>
    <t>Auto compatta</t>
  </si>
  <si>
    <t>Classe media</t>
  </si>
  <si>
    <t>Classe di lusso/SUV</t>
  </si>
  <si>
    <t>Auto - ibrida benzina</t>
  </si>
  <si>
    <t>Auto ibrida plug-in a benzina</t>
  </si>
  <si>
    <t>Auto: diesel</t>
  </si>
  <si>
    <t>Auto: ibrida plug-in diesel</t>
  </si>
  <si>
    <t>Auto - bifuel GPL</t>
  </si>
  <si>
    <t>Auto - bifuel Metano</t>
  </si>
  <si>
    <t>Auto: 100% elettrica</t>
  </si>
  <si>
    <t>Energie Baden-Württemberg. Durchschnittlich 0,21 kWh/km. Multipliziert mit nationalem Strommix Italien</t>
  </si>
  <si>
    <t>ADAC. Annahme Verbrauch 0,14 kWh/km. Multipliziert mit nationalem Strommix Italien</t>
  </si>
  <si>
    <t>ADAC. Annahme Verbrauch 0,19 kWh/km. Multipliziert mit nationalem Strommix Italien</t>
  </si>
  <si>
    <t>ADAC. Annahme Verbrauch 0,24 kWh/km. Multipliziert mit nationalem Strommix Italien</t>
  </si>
  <si>
    <t>Sprinter (&lt;3,5 t) - benzina</t>
  </si>
  <si>
    <t>Sprinter (&lt;3,5 t) - Diesel</t>
  </si>
  <si>
    <t>Autocarro (3,5 - 7,5 t)</t>
  </si>
  <si>
    <t>Autocarro (&gt;7,5t)</t>
  </si>
  <si>
    <t>Autobus</t>
  </si>
  <si>
    <t>Autobus - ibrido</t>
  </si>
  <si>
    <t>Autobus - metano</t>
  </si>
  <si>
    <t>Piccola motocicletta</t>
  </si>
  <si>
    <t>Motociclo</t>
  </si>
  <si>
    <t>Elettricità</t>
  </si>
  <si>
    <t>Fattore di emissione [kg CO2e/kWh]</t>
  </si>
  <si>
    <t>Quantità di elettricità dalla rete</t>
  </si>
  <si>
    <t>elettricità verde</t>
  </si>
  <si>
    <t>L'elettricità verde certificata deve essere generata da fonti energetiche rinnovabili al 100%, si prega di notare il mix di elettricità.</t>
  </si>
  <si>
    <t>Nel bilancio della CO2 non viene conteggiata l’energia elettrica autoprodotta da fonti rinnovabili.</t>
  </si>
  <si>
    <t>Elettricità per la mobilità elettrica (caricata esternamente)</t>
  </si>
  <si>
    <t>Elettricità verde certificata</t>
  </si>
  <si>
    <t>Teleriscaldamento o teleraffreddamento</t>
  </si>
  <si>
    <t>prego selezionare</t>
  </si>
  <si>
    <t>teleriscaldamento</t>
  </si>
  <si>
    <t xml:space="preserve"> I fattori di emissione per gli impianti di teleriscaldamento sono riportati nell'elenco. Per tutti gli altri i fattori di emissione dovranno essere richiesti direttamente agli impianti di teleriscaldamento.</t>
  </si>
  <si>
    <t>Altro impianto di teleriscaldamento</t>
  </si>
  <si>
    <t>Altra tipologia di fornitura locale di calore e/o raffreddamento</t>
  </si>
  <si>
    <t>Risultato del calcolo</t>
  </si>
  <si>
    <t>[tCO2e]</t>
  </si>
  <si>
    <t>Fonti energetiche stazionarie</t>
  </si>
  <si>
    <t>[kg CO2e]</t>
  </si>
  <si>
    <t>Scope 2: con consumo elettrico in base alla localizzazione geografica</t>
  </si>
  <si>
    <t>Scope 2: con consumo elettrico basato sul mercato</t>
  </si>
  <si>
    <t>Per il proprio bilancio climatico utilizzare sempre il valore con consumo elettrico basato sul mercato, se disponibile.</t>
  </si>
  <si>
    <t>Consumo elettrico in base alla localizzazione</t>
  </si>
  <si>
    <t>Consumo elettrico basato sul mercato</t>
  </si>
  <si>
    <t>Consumo di energia elettrica per i veicoli</t>
  </si>
  <si>
    <t>Teleriscaldamento</t>
  </si>
  <si>
    <t>Risultati 2024</t>
  </si>
  <si>
    <t>GRAFIK 1</t>
  </si>
  <si>
    <t>Emissioni Scope 1: Emissioni dirette da fonti possedute o controllate</t>
  </si>
  <si>
    <t>Emissioni di gas serra [t CO2e]</t>
  </si>
  <si>
    <t>con Scope 2 basato sulla localizzazione</t>
  </si>
  <si>
    <t>mit Scope 2 basato sul mercato</t>
  </si>
  <si>
    <t>Emissioni dirette totali</t>
  </si>
  <si>
    <t>Emissioni Scope 2: Emissioni indirette derivanti dal consumo di energia acquistata</t>
  </si>
  <si>
    <t>GRAFIK 2a</t>
  </si>
  <si>
    <t>Emissioni Scope 2 in base alla localizzazione geografica</t>
  </si>
  <si>
    <t>GRAFIK 2b</t>
  </si>
  <si>
    <t>Emissioni Scope 2 basate sul mercato</t>
  </si>
  <si>
    <t>GRAFIK 3a</t>
  </si>
  <si>
    <t>GRAFIK 3b</t>
  </si>
  <si>
    <t>Indicatori</t>
  </si>
  <si>
    <t>Intensità dei gas serra in tonnellate di CO2 per 1.000 euro di utile netto</t>
  </si>
  <si>
    <t>Intensità di gas serra per dipendente in tonnellate di CO2</t>
  </si>
  <si>
    <t>Parco veicoli</t>
  </si>
  <si>
    <t>Consumo di energia elettrica (basato sulla localizzazione)</t>
  </si>
  <si>
    <t>Consumo di energia elettrica (basato sul mercato)</t>
  </si>
  <si>
    <t>GRAFIK 4</t>
  </si>
  <si>
    <t>Risultati 2025</t>
  </si>
  <si>
    <t>Risultati 2026</t>
  </si>
  <si>
    <t>Risultati nel tempo</t>
  </si>
  <si>
    <r>
      <t>Emissioni Scope 1</t>
    </r>
    <r>
      <rPr>
        <sz val="11"/>
        <color theme="1"/>
        <rFont val="Aptos Narrow"/>
        <family val="2"/>
        <scheme val="minor"/>
      </rPr>
      <t>: Emissioni dirette da fonti possedute o controllate</t>
    </r>
  </si>
  <si>
    <t>GRAFIK 2</t>
  </si>
  <si>
    <r>
      <t>Emissioni Scope 2</t>
    </r>
    <r>
      <rPr>
        <sz val="11"/>
        <color theme="1"/>
        <rFont val="Aptos Narrow"/>
        <family val="2"/>
        <scheme val="minor"/>
      </rPr>
      <t>: Emissioni indirette derivanti dal consumo di energia acquistata</t>
    </r>
  </si>
  <si>
    <r>
      <t>Intensità dei gas serra in tonnellate di CO</t>
    </r>
    <r>
      <rPr>
        <vertAlign val="subscript"/>
        <sz val="11"/>
        <color theme="1"/>
        <rFont val="Aptos Narrow"/>
        <family val="2"/>
        <scheme val="minor"/>
      </rPr>
      <t xml:space="preserve">2 </t>
    </r>
    <r>
      <rPr>
        <sz val="11"/>
        <color theme="1"/>
        <rFont val="Aptos Narrow"/>
        <family val="2"/>
        <scheme val="minor"/>
      </rPr>
      <t>per 1.000 euro di utile netto</t>
    </r>
  </si>
  <si>
    <r>
      <t>Intensità di gas serra per dipendente in tonnellate di CO</t>
    </r>
    <r>
      <rPr>
        <vertAlign val="subscript"/>
        <sz val="11"/>
        <color theme="1"/>
        <rFont val="Aptos Narrow"/>
        <family val="2"/>
        <scheme val="minor"/>
      </rPr>
      <t>2</t>
    </r>
  </si>
  <si>
    <t>Strumento per determinare il fattore di emissione specifico per l'elettricità fornita</t>
  </si>
  <si>
    <t>Questo strumento ha lo scopo di consentire una stima del fattore di emissione delle singole forniture elettriche. La base è la “Fuel Mix Disclosure” del rispettivo fornitore di energia elettrica. Per un valore affidabile e ufficiale, contattare il proprio fornitore di energia elettrica.</t>
  </si>
  <si>
    <t>Fonti energetiche primarie per la produzione di energia elettrica</t>
  </si>
  <si>
    <t>Si prega di indicare la composizione del mix elettrico in %</t>
  </si>
  <si>
    <t>Fattore di emissione in kg CO2/kWh</t>
  </si>
  <si>
    <t>Mix elettrico nazionale di riferimento 2022 (Fonte: GSE)</t>
  </si>
  <si>
    <t>Emissionsfaktoren 2022 (ISPRA) 
g CO2/kWh</t>
  </si>
  <si>
    <t>Fonti rinnovabili</t>
  </si>
  <si>
    <t>Carbone</t>
  </si>
  <si>
    <t>Prodotti petroliferi</t>
  </si>
  <si>
    <t>Energia nucleare</t>
  </si>
  <si>
    <t>Altro</t>
  </si>
  <si>
    <t>Somma</t>
  </si>
  <si>
    <t>Fattore di emissione calcolato</t>
  </si>
  <si>
    <t>Mix elettrico nazionale 2022</t>
  </si>
  <si>
    <t>SCOPE 1 - emissioni dirette</t>
  </si>
  <si>
    <t>Energieumrechnungszahlen</t>
  </si>
  <si>
    <t>Anmerkungen</t>
  </si>
  <si>
    <t>EF (kg/unità)</t>
  </si>
  <si>
    <t>Fonte</t>
  </si>
  <si>
    <t>https://www.umweltbundesamt.de/publikationen/emissionsbilanz-erneuerbarer-energietraeger-2022sbilanz_erneuerbarer_energien_2022_.pdf</t>
  </si>
  <si>
    <t>BMWi - Bundesförderung für Energie- und Ressourceneffizienz in der Wirtschaft</t>
  </si>
  <si>
    <t>l</t>
  </si>
  <si>
    <t>https://secure.umweltbundesamt.at/co2mon/co2mon.html, Aktualisierung Dez. 2023, aufgerufen am 09.09.2024</t>
  </si>
  <si>
    <t>UK Government's Greenhouse Gas Conversion Factors</t>
  </si>
  <si>
    <t>Intergovernmental Panel on Climate Change (IPCC)</t>
  </si>
  <si>
    <t>UK Government's Greenhouse Gas Conversion Factors for Company Reporting</t>
  </si>
  <si>
    <t>UBA (2021): Emissionsbilanz erneuerbarer Energieträger 2020</t>
  </si>
  <si>
    <t>Biogas</t>
  </si>
  <si>
    <t>EEW 2022 - Informationsblatt CO2-Faktoren</t>
  </si>
  <si>
    <t>https://biogas.fnr.de/daten-und-fakten/faustzahlen</t>
  </si>
  <si>
    <t>Energieinstitut Vorarlberg (EIV)</t>
  </si>
  <si>
    <t>Energieinstitut Vorarlberg (EIV) - Umrechnungsfaktor 9.19 kWh/l</t>
  </si>
  <si>
    <t>msa</t>
  </si>
  <si>
    <t>FNR (2022): "Basisdaten Bioenergie Deutschland 2022", Fachagentur für Nachwachsende Rohstoffe</t>
  </si>
  <si>
    <t>kg CO2</t>
  </si>
  <si>
    <t>Umrechnung 1 Rm = 375 kg</t>
  </si>
  <si>
    <t>FNR (2022): "Basisdaten Bioenergie Deutschland 2022", Fachagentur für Nachwachsende Rohstoffe. Umrechnungsfaktor 1 SRm = 0.7 Rm</t>
  </si>
  <si>
    <t>EEW 2022 - Informationsblatt CO2-Faktoren; Umrechnung 1 kg Brennholz = 4.07 kWh Heizwert</t>
  </si>
  <si>
    <t>FNR (2022): "Basisdaten Bioenergie Deutschland 2022", Fachagentur für Nachwachsende Rohstoffe. Umrechnung 1 kg = 5 kWh</t>
  </si>
  <si>
    <t>Umrechnung 1 kg = 5 kWh</t>
  </si>
  <si>
    <t>Aufgerufen am 30.08.24; https://www.gov.uk/government/publications/greenhouse-gas-reporting-conversion-factors-2022</t>
  </si>
  <si>
    <t>Umrechnung 1 SRm = 203 kg</t>
  </si>
  <si>
    <t>Umrechnung 1 kg = 4.33 kWh</t>
  </si>
  <si>
    <t>Idrogeno grigio</t>
  </si>
  <si>
    <t>Idrogeno blu</t>
  </si>
  <si>
    <t>Idrogeno verde</t>
  </si>
  <si>
    <t>vedere il foglio “Refrigeranti”</t>
  </si>
  <si>
    <t>Elettricità per i veicoli (stazioni di ricarica proprie)</t>
  </si>
  <si>
    <t>ISPRA 2022</t>
  </si>
  <si>
    <t>Emissioni per tipo di veicolo per chilometro</t>
  </si>
  <si>
    <t>Veicolo</t>
  </si>
  <si>
    <t>Fattore di emissione kg CO2/km (2021)</t>
  </si>
  <si>
    <t>SCOPE 2 - emissioni indirette da energia elettrica e teleriscaldamento/raffreddamento</t>
  </si>
  <si>
    <t>Energia elettrica (consumi)</t>
  </si>
  <si>
    <t>vedere foglio “Teleriscaldamento in AA”</t>
  </si>
  <si>
    <t>Comune - Impianto</t>
  </si>
  <si>
    <t xml:space="preserve">   </t>
  </si>
  <si>
    <t>Bolzano - Centrale di teleriscaldamento di Bolzano</t>
  </si>
  <si>
    <t>Alperia 2024</t>
  </si>
  <si>
    <t>Chiusa - Centrale di teleriscaldamento di Chiusa</t>
  </si>
  <si>
    <t>Alperia 2021</t>
  </si>
  <si>
    <t>Chiusa - Centrale di teleriscaldamento di Lazfons</t>
  </si>
  <si>
    <t>Merano - Centrale di teleriscaldamento di Merano</t>
  </si>
  <si>
    <t>Silandro - Centrale di teleriscaldamento di Silandro</t>
  </si>
  <si>
    <t>Sesto - Centrale di teleriscaldamento di Sesto</t>
  </si>
  <si>
    <t>REFRIGERANTE</t>
  </si>
  <si>
    <t>GWP</t>
  </si>
  <si>
    <t>DESCRIZIONE</t>
  </si>
  <si>
    <t>R32(difluorometano)</t>
  </si>
  <si>
    <t>Refrigeranti sintetici. Obbligo di reporting, libretto di manutenzione e test di tenuta obbligatori</t>
  </si>
  <si>
    <t>R450A</t>
  </si>
  <si>
    <t>R513A</t>
  </si>
  <si>
    <t xml:space="preserve">  </t>
  </si>
  <si>
    <t>R1234yf</t>
  </si>
  <si>
    <t>Refrigeranti sintetici. Refrigeranti consentiti soggetti al rispetto dei requisiti di sicurezza</t>
  </si>
  <si>
    <t>R1234ze</t>
  </si>
  <si>
    <t>R170 (etano)</t>
  </si>
  <si>
    <t>Refrigeranti naturali. Refrigeranti consentiti soggetti al rispetto dei requisiti di sicurezza</t>
  </si>
  <si>
    <t>R290 (propano)</t>
  </si>
  <si>
    <t>R717(NH3)</t>
  </si>
  <si>
    <t>R718 (H2O)</t>
  </si>
  <si>
    <t>R744 (CO2)</t>
  </si>
  <si>
    <t>R600a (isobutano)</t>
  </si>
  <si>
    <t>R1270 (propene)</t>
  </si>
  <si>
    <t>R723 (DME/NH3)</t>
  </si>
  <si>
    <t>R409A</t>
  </si>
  <si>
    <t>Dal 2025 saranno vietati i refrigeranti con GWP &gt;750. I sistemi esistenti possono continuare a funzionare, ma non possono più essere ricaricati.</t>
  </si>
  <si>
    <t>R134a</t>
  </si>
  <si>
    <t>R407C FKW</t>
  </si>
  <si>
    <t>R410A FKW</t>
  </si>
  <si>
    <t>Fonte: Linee guida sulle pompe di calore, Agenzia CasaClima 2024</t>
  </si>
  <si>
    <t xml:space="preserve"> https://www.agenziacasaclima.it/smartedit/documents/content/_published/2024-04-09_rl_quality-product_pdc_1.pdf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</si>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</sst>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"/>
    <numFmt numFmtId="167" formatCode="#,##0.00\ [$€-410]"/>
  </numFmts>
  <fonts count="2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theme="1"/>
      <name val="Aptos"/>
      <family val="2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6"/>
      <color theme="0" tint="-0.499984740745262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9656"/>
        <bgColor indexed="64"/>
      </patternFill>
    </fill>
    <fill>
      <patternFill patternType="solid">
        <fgColor rgb="FF78A751"/>
        <bgColor indexed="64"/>
      </patternFill>
    </fill>
    <fill>
      <patternFill patternType="solid">
        <fgColor rgb="FFBFCF51"/>
        <bgColor indexed="64"/>
      </patternFill>
    </fill>
    <fill>
      <patternFill patternType="solid">
        <fgColor rgb="FFF5D12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4EC2CE"/>
      </left>
      <right/>
      <top/>
      <bottom/>
      <diagonal/>
    </border>
    <border>
      <left style="thin">
        <color rgb="FF4EC2CE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3" fillId="2" borderId="0" xfId="0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/>
    <xf numFmtId="0" fontId="0" fillId="6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9" fillId="0" borderId="0" xfId="2" applyAlignment="1">
      <alignment vertical="center"/>
    </xf>
    <xf numFmtId="0" fontId="1" fillId="5" borderId="0" xfId="0" applyFont="1" applyFill="1"/>
    <xf numFmtId="164" fontId="0" fillId="0" borderId="0" xfId="0" applyNumberFormat="1"/>
    <xf numFmtId="0" fontId="1" fillId="7" borderId="0" xfId="0" applyFont="1" applyFill="1"/>
    <xf numFmtId="0" fontId="0" fillId="7" borderId="0" xfId="0" applyFill="1" applyAlignment="1">
      <alignment wrapText="1"/>
    </xf>
    <xf numFmtId="0" fontId="11" fillId="8" borderId="0" xfId="0" applyFont="1" applyFill="1"/>
    <xf numFmtId="0" fontId="11" fillId="8" borderId="0" xfId="0" applyFont="1" applyFill="1" applyAlignment="1">
      <alignment wrapText="1"/>
    </xf>
    <xf numFmtId="0" fontId="11" fillId="9" borderId="0" xfId="0" applyFont="1" applyFill="1"/>
    <xf numFmtId="0" fontId="12" fillId="9" borderId="0" xfId="0" applyFont="1" applyFill="1"/>
    <xf numFmtId="0" fontId="12" fillId="9" borderId="0" xfId="0" applyFont="1" applyFill="1" applyAlignment="1">
      <alignment wrapText="1"/>
    </xf>
    <xf numFmtId="0" fontId="4" fillId="0" borderId="1" xfId="0" applyFont="1" applyBorder="1"/>
    <xf numFmtId="0" fontId="0" fillId="3" borderId="0" xfId="0" applyFill="1" applyAlignment="1">
      <alignment horizontal="left" wrapText="1" indent="1"/>
    </xf>
    <xf numFmtId="0" fontId="1" fillId="3" borderId="0" xfId="0" applyFont="1" applyFill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0" fillId="3" borderId="20" xfId="0" applyFill="1" applyBorder="1" applyAlignment="1">
      <alignment horizontal="right" wrapText="1"/>
    </xf>
    <xf numFmtId="0" fontId="1" fillId="10" borderId="18" xfId="0" applyFont="1" applyFill="1" applyBorder="1" applyAlignment="1">
      <alignment horizontal="right" wrapText="1"/>
    </xf>
    <xf numFmtId="0" fontId="1" fillId="10" borderId="21" xfId="0" applyFont="1" applyFill="1" applyBorder="1" applyAlignment="1">
      <alignment horizontal="right" wrapText="1"/>
    </xf>
    <xf numFmtId="0" fontId="9" fillId="0" borderId="0" xfId="2" applyAlignment="1">
      <alignment wrapText="1"/>
    </xf>
    <xf numFmtId="0" fontId="9" fillId="0" borderId="0" xfId="2"/>
    <xf numFmtId="0" fontId="0" fillId="3" borderId="0" xfId="0" applyFill="1" applyAlignment="1">
      <alignment horizontal="left" vertical="center"/>
    </xf>
    <xf numFmtId="0" fontId="16" fillId="0" borderId="0" xfId="0" applyFont="1"/>
    <xf numFmtId="0" fontId="0" fillId="7" borderId="0" xfId="0" applyFill="1"/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Protection="1">
      <protection locked="0"/>
    </xf>
    <xf numFmtId="10" fontId="0" fillId="0" borderId="1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>
      <alignment wrapText="1"/>
    </xf>
    <xf numFmtId="0" fontId="0" fillId="0" borderId="3" xfId="0" applyBorder="1"/>
    <xf numFmtId="0" fontId="4" fillId="0" borderId="0" xfId="0" applyFont="1"/>
    <xf numFmtId="0" fontId="4" fillId="0" borderId="3" xfId="0" applyFont="1" applyBorder="1"/>
    <xf numFmtId="165" fontId="7" fillId="0" borderId="0" xfId="0" applyNumberFormat="1" applyFont="1"/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4" xfId="0" applyBorder="1" applyProtection="1"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10" fillId="0" borderId="2" xfId="0" applyFont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7" fillId="3" borderId="0" xfId="0" applyFont="1" applyFill="1"/>
    <xf numFmtId="4" fontId="0" fillId="4" borderId="1" xfId="0" applyNumberForma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4" borderId="14" xfId="0" applyNumberFormat="1" applyFill="1" applyBorder="1" applyProtection="1"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6" fontId="0" fillId="4" borderId="14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Border="1" applyProtection="1">
      <protection locked="0"/>
    </xf>
    <xf numFmtId="166" fontId="0" fillId="0" borderId="1" xfId="0" applyNumberFormat="1" applyBorder="1" applyAlignment="1">
      <alignment horizontal="right" wrapText="1"/>
    </xf>
    <xf numFmtId="166" fontId="1" fillId="10" borderId="22" xfId="0" applyNumberFormat="1" applyFont="1" applyFill="1" applyBorder="1" applyAlignment="1">
      <alignment horizontal="right" wrapText="1"/>
    </xf>
    <xf numFmtId="166" fontId="1" fillId="10" borderId="1" xfId="0" applyNumberFormat="1" applyFont="1" applyFill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0" fillId="0" borderId="22" xfId="0" applyNumberFormat="1" applyBorder="1" applyAlignment="1">
      <alignment horizontal="right" wrapText="1"/>
    </xf>
    <xf numFmtId="0" fontId="17" fillId="0" borderId="0" xfId="0" applyFont="1"/>
    <xf numFmtId="164" fontId="0" fillId="0" borderId="1" xfId="0" applyNumberFormat="1" applyBorder="1" applyAlignment="1" applyProtection="1">
      <alignment horizont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/>
    <xf numFmtId="164" fontId="10" fillId="0" borderId="1" xfId="0" applyNumberFormat="1" applyFont="1" applyBorder="1" applyProtection="1">
      <protection locked="0"/>
    </xf>
    <xf numFmtId="0" fontId="0" fillId="0" borderId="40" xfId="0" applyBorder="1" applyAlignment="1">
      <alignment wrapText="1"/>
    </xf>
    <xf numFmtId="166" fontId="0" fillId="0" borderId="19" xfId="0" applyNumberFormat="1" applyBorder="1" applyAlignment="1">
      <alignment horizontal="right" wrapText="1"/>
    </xf>
    <xf numFmtId="166" fontId="1" fillId="10" borderId="23" xfId="0" applyNumberFormat="1" applyFont="1" applyFill="1" applyBorder="1" applyAlignment="1">
      <alignment horizontal="right" wrapText="1"/>
    </xf>
    <xf numFmtId="166" fontId="1" fillId="10" borderId="19" xfId="0" applyNumberFormat="1" applyFont="1" applyFill="1" applyBorder="1" applyAlignment="1">
      <alignment horizontal="right" wrapText="1"/>
    </xf>
    <xf numFmtId="0" fontId="3" fillId="12" borderId="7" xfId="0" applyFont="1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8" xfId="0" applyFill="1" applyBorder="1" applyAlignment="1">
      <alignment horizontal="center"/>
    </xf>
    <xf numFmtId="0" fontId="3" fillId="12" borderId="0" xfId="0" applyFont="1" applyFill="1"/>
    <xf numFmtId="0" fontId="0" fillId="12" borderId="0" xfId="0" applyFill="1" applyAlignment="1">
      <alignment horizontal="center"/>
    </xf>
    <xf numFmtId="0" fontId="0" fillId="12" borderId="0" xfId="0" applyFill="1"/>
    <xf numFmtId="0" fontId="3" fillId="13" borderId="7" xfId="0" applyFont="1" applyFill="1" applyBorder="1"/>
    <xf numFmtId="0" fontId="0" fillId="13" borderId="8" xfId="0" applyFill="1" applyBorder="1" applyAlignment="1">
      <alignment horizontal="center"/>
    </xf>
    <xf numFmtId="0" fontId="0" fillId="13" borderId="8" xfId="0" applyFill="1" applyBorder="1"/>
    <xf numFmtId="0" fontId="0" fillId="13" borderId="9" xfId="0" applyFill="1" applyBorder="1"/>
    <xf numFmtId="0" fontId="0" fillId="13" borderId="2" xfId="0" applyFill="1" applyBorder="1"/>
    <xf numFmtId="0" fontId="0" fillId="13" borderId="0" xfId="0" applyFill="1" applyAlignment="1">
      <alignment horizontal="center"/>
    </xf>
    <xf numFmtId="0" fontId="0" fillId="13" borderId="0" xfId="0" applyFill="1"/>
    <xf numFmtId="0" fontId="0" fillId="13" borderId="10" xfId="0" applyFill="1" applyBorder="1"/>
    <xf numFmtId="0" fontId="1" fillId="14" borderId="2" xfId="0" applyFont="1" applyFill="1" applyBorder="1"/>
    <xf numFmtId="0" fontId="0" fillId="14" borderId="0" xfId="0" applyFill="1" applyAlignment="1">
      <alignment horizontal="center"/>
    </xf>
    <xf numFmtId="0" fontId="0" fillId="14" borderId="0" xfId="0" applyFill="1"/>
    <xf numFmtId="0" fontId="0" fillId="14" borderId="10" xfId="0" applyFill="1" applyBorder="1"/>
    <xf numFmtId="0" fontId="1" fillId="14" borderId="2" xfId="0" applyFont="1" applyFill="1" applyBorder="1" applyAlignment="1">
      <alignment vertical="center"/>
    </xf>
    <xf numFmtId="0" fontId="1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 wrapText="1"/>
    </xf>
    <xf numFmtId="0" fontId="0" fillId="14" borderId="2" xfId="0" applyFill="1" applyBorder="1"/>
    <xf numFmtId="4" fontId="0" fillId="14" borderId="0" xfId="0" applyNumberForma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0" fillId="12" borderId="10" xfId="0" applyFill="1" applyBorder="1"/>
    <xf numFmtId="0" fontId="1" fillId="13" borderId="2" xfId="0" applyFont="1" applyFill="1" applyBorder="1"/>
    <xf numFmtId="0" fontId="0" fillId="13" borderId="14" xfId="0" applyFill="1" applyBorder="1" applyAlignment="1">
      <alignment horizontal="left"/>
    </xf>
    <xf numFmtId="0" fontId="7" fillId="14" borderId="0" xfId="0" applyFont="1" applyFill="1" applyAlignment="1">
      <alignment horizontal="left"/>
    </xf>
    <xf numFmtId="0" fontId="4" fillId="13" borderId="0" xfId="0" applyFont="1" applyFill="1" applyAlignment="1">
      <alignment horizontal="left" wrapText="1"/>
    </xf>
    <xf numFmtId="0" fontId="0" fillId="13" borderId="1" xfId="0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4" fontId="0" fillId="14" borderId="0" xfId="0" applyNumberForma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" fillId="14" borderId="2" xfId="0" applyFont="1" applyFill="1" applyBorder="1" applyAlignment="1">
      <alignment horizontal="left" vertical="center"/>
    </xf>
    <xf numFmtId="0" fontId="1" fillId="13" borderId="1" xfId="0" applyFont="1" applyFill="1" applyBorder="1"/>
    <xf numFmtId="0" fontId="1" fillId="14" borderId="11" xfId="0" applyFont="1" applyFill="1" applyBorder="1" applyAlignment="1">
      <alignment vertical="center"/>
    </xf>
    <xf numFmtId="0" fontId="14" fillId="14" borderId="25" xfId="0" applyFont="1" applyFill="1" applyBorder="1" applyAlignment="1">
      <alignment horizontal="right"/>
    </xf>
    <xf numFmtId="0" fontId="14" fillId="14" borderId="26" xfId="0" applyFont="1" applyFill="1" applyBorder="1" applyAlignment="1">
      <alignment horizontal="right"/>
    </xf>
    <xf numFmtId="0" fontId="0" fillId="14" borderId="1" xfId="0" applyFill="1" applyBorder="1" applyAlignment="1">
      <alignment horizontal="center"/>
    </xf>
    <xf numFmtId="164" fontId="0" fillId="14" borderId="3" xfId="0" applyNumberFormat="1" applyFill="1" applyBorder="1"/>
    <xf numFmtId="0" fontId="7" fillId="14" borderId="0" xfId="0" applyFont="1" applyFill="1"/>
    <xf numFmtId="0" fontId="0" fillId="14" borderId="2" xfId="0" applyFill="1" applyBorder="1" applyAlignment="1">
      <alignment horizontal="right"/>
    </xf>
    <xf numFmtId="0" fontId="0" fillId="14" borderId="3" xfId="0" applyFill="1" applyBorder="1" applyAlignment="1">
      <alignment horizontal="center"/>
    </xf>
    <xf numFmtId="3" fontId="0" fillId="14" borderId="3" xfId="0" applyNumberFormat="1" applyFill="1" applyBorder="1"/>
    <xf numFmtId="0" fontId="0" fillId="13" borderId="1" xfId="0" applyFill="1" applyBorder="1"/>
    <xf numFmtId="0" fontId="10" fillId="13" borderId="14" xfId="0" applyFont="1" applyFill="1" applyBorder="1"/>
    <xf numFmtId="0" fontId="0" fillId="13" borderId="4" xfId="0" applyFill="1" applyBorder="1"/>
    <xf numFmtId="0" fontId="0" fillId="13" borderId="11" xfId="0" applyFill="1" applyBorder="1"/>
    <xf numFmtId="0" fontId="0" fillId="13" borderId="3" xfId="0" applyFill="1" applyBorder="1" applyAlignment="1">
      <alignment horizontal="center"/>
    </xf>
    <xf numFmtId="0" fontId="0" fillId="13" borderId="3" xfId="0" applyFill="1" applyBorder="1"/>
    <xf numFmtId="164" fontId="0" fillId="13" borderId="1" xfId="0" applyNumberFormat="1" applyFill="1" applyBorder="1"/>
    <xf numFmtId="0" fontId="0" fillId="15" borderId="0" xfId="0" applyFill="1"/>
    <xf numFmtId="0" fontId="3" fillId="13" borderId="2" xfId="0" applyFont="1" applyFill="1" applyBorder="1"/>
    <xf numFmtId="0" fontId="0" fillId="13" borderId="0" xfId="0" applyFill="1" applyAlignment="1">
      <alignment horizontal="center" vertical="center"/>
    </xf>
    <xf numFmtId="0" fontId="7" fillId="13" borderId="2" xfId="0" applyFont="1" applyFill="1" applyBorder="1"/>
    <xf numFmtId="0" fontId="0" fillId="13" borderId="2" xfId="0" applyFill="1" applyBorder="1" applyAlignment="1">
      <alignment horizontal="left"/>
    </xf>
    <xf numFmtId="0" fontId="1" fillId="13" borderId="2" xfId="0" applyFont="1" applyFill="1" applyBorder="1" applyAlignment="1">
      <alignment horizontal="right"/>
    </xf>
    <xf numFmtId="0" fontId="0" fillId="13" borderId="2" xfId="0" applyFill="1" applyBorder="1" applyAlignment="1">
      <alignment horizontal="right"/>
    </xf>
    <xf numFmtId="0" fontId="10" fillId="13" borderId="2" xfId="0" applyFont="1" applyFill="1" applyBorder="1" applyAlignment="1">
      <alignment horizontal="right"/>
    </xf>
    <xf numFmtId="0" fontId="0" fillId="13" borderId="1" xfId="0" applyFill="1" applyBorder="1" applyAlignment="1">
      <alignment horizontal="center" vertical="center"/>
    </xf>
    <xf numFmtId="0" fontId="1" fillId="14" borderId="2" xfId="0" applyFont="1" applyFill="1" applyBorder="1" applyAlignment="1">
      <alignment horizontal="left"/>
    </xf>
    <xf numFmtId="0" fontId="0" fillId="14" borderId="0" xfId="0" applyFill="1" applyAlignment="1">
      <alignment horizontal="left"/>
    </xf>
    <xf numFmtId="0" fontId="10" fillId="14" borderId="2" xfId="0" applyFont="1" applyFill="1" applyBorder="1" applyAlignment="1">
      <alignment horizontal="right"/>
    </xf>
    <xf numFmtId="164" fontId="0" fillId="14" borderId="0" xfId="0" applyNumberFormat="1" applyFill="1"/>
    <xf numFmtId="166" fontId="0" fillId="15" borderId="1" xfId="0" applyNumberFormat="1" applyFill="1" applyBorder="1" applyAlignment="1">
      <alignment horizontal="center"/>
    </xf>
    <xf numFmtId="166" fontId="0" fillId="14" borderId="0" xfId="0" applyNumberFormat="1" applyFill="1" applyAlignment="1">
      <alignment horizontal="center"/>
    </xf>
    <xf numFmtId="4" fontId="0" fillId="13" borderId="1" xfId="0" applyNumberFormat="1" applyFill="1" applyBorder="1" applyAlignment="1">
      <alignment horizontal="center" vertical="center"/>
    </xf>
    <xf numFmtId="4" fontId="7" fillId="14" borderId="0" xfId="0" applyNumberFormat="1" applyFont="1" applyFill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166" fontId="0" fillId="14" borderId="0" xfId="0" applyNumberFormat="1" applyFill="1"/>
    <xf numFmtId="166" fontId="0" fillId="15" borderId="1" xfId="0" applyNumberFormat="1" applyFill="1" applyBorder="1" applyAlignment="1">
      <alignment horizontal="center" vertical="center"/>
    </xf>
    <xf numFmtId="166" fontId="0" fillId="14" borderId="0" xfId="0" applyNumberFormat="1" applyFill="1" applyAlignment="1">
      <alignment horizontal="center" vertical="center"/>
    </xf>
    <xf numFmtId="166" fontId="0" fillId="15" borderId="1" xfId="0" applyNumberFormat="1" applyFill="1" applyBorder="1"/>
    <xf numFmtId="0" fontId="3" fillId="12" borderId="2" xfId="0" applyFont="1" applyFill="1" applyBorder="1"/>
    <xf numFmtId="0" fontId="0" fillId="12" borderId="4" xfId="0" applyFill="1" applyBorder="1"/>
    <xf numFmtId="0" fontId="0" fillId="12" borderId="11" xfId="0" applyFill="1" applyBorder="1"/>
    <xf numFmtId="0" fontId="0" fillId="12" borderId="3" xfId="0" applyFill="1" applyBorder="1" applyAlignment="1">
      <alignment horizontal="center"/>
    </xf>
    <xf numFmtId="0" fontId="0" fillId="12" borderId="3" xfId="0" applyFill="1" applyBorder="1"/>
    <xf numFmtId="0" fontId="12" fillId="12" borderId="30" xfId="0" applyFont="1" applyFill="1" applyBorder="1" applyAlignment="1">
      <alignment horizontal="center"/>
    </xf>
    <xf numFmtId="165" fontId="11" fillId="12" borderId="35" xfId="0" applyNumberFormat="1" applyFont="1" applyFill="1" applyBorder="1"/>
    <xf numFmtId="0" fontId="12" fillId="12" borderId="17" xfId="0" applyFont="1" applyFill="1" applyBorder="1" applyAlignment="1">
      <alignment horizontal="center" vertical="center"/>
    </xf>
    <xf numFmtId="0" fontId="11" fillId="12" borderId="31" xfId="0" applyFont="1" applyFill="1" applyBorder="1"/>
    <xf numFmtId="0" fontId="12" fillId="12" borderId="32" xfId="0" applyFont="1" applyFill="1" applyBorder="1" applyAlignment="1">
      <alignment horizontal="center"/>
    </xf>
    <xf numFmtId="165" fontId="11" fillId="12" borderId="36" xfId="0" applyNumberFormat="1" applyFont="1" applyFill="1" applyBorder="1"/>
    <xf numFmtId="0" fontId="12" fillId="12" borderId="23" xfId="0" applyFont="1" applyFill="1" applyBorder="1" applyAlignment="1">
      <alignment horizontal="center" vertical="center"/>
    </xf>
    <xf numFmtId="0" fontId="11" fillId="12" borderId="27" xfId="0" applyFont="1" applyFill="1" applyBorder="1"/>
    <xf numFmtId="0" fontId="12" fillId="12" borderId="28" xfId="0" applyFont="1" applyFill="1" applyBorder="1" applyAlignment="1">
      <alignment horizontal="center"/>
    </xf>
    <xf numFmtId="165" fontId="11" fillId="12" borderId="34" xfId="0" applyNumberFormat="1" applyFont="1" applyFill="1" applyBorder="1"/>
    <xf numFmtId="0" fontId="12" fillId="12" borderId="37" xfId="0" applyFon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1" fillId="13" borderId="15" xfId="0" applyFont="1" applyFill="1" applyBorder="1" applyAlignment="1">
      <alignment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41" xfId="0" applyFont="1" applyFill="1" applyBorder="1" applyAlignment="1">
      <alignment horizontal="center" vertical="center" wrapText="1"/>
    </xf>
    <xf numFmtId="0" fontId="0" fillId="13" borderId="16" xfId="0" applyFill="1" applyBorder="1" applyAlignment="1">
      <alignment horizontal="left" wrapText="1" indent="1"/>
    </xf>
    <xf numFmtId="0" fontId="0" fillId="13" borderId="17" xfId="0" applyFill="1" applyBorder="1"/>
    <xf numFmtId="0" fontId="1" fillId="15" borderId="0" xfId="0" applyFont="1" applyFill="1"/>
    <xf numFmtId="0" fontId="0" fillId="14" borderId="0" xfId="0" applyFill="1" applyAlignment="1">
      <alignment wrapText="1"/>
    </xf>
    <xf numFmtId="0" fontId="4" fillId="14" borderId="0" xfId="0" applyFont="1" applyFill="1"/>
    <xf numFmtId="0" fontId="1" fillId="14" borderId="0" xfId="0" applyFont="1" applyFill="1"/>
    <xf numFmtId="0" fontId="1" fillId="14" borderId="0" xfId="0" applyFont="1" applyFill="1" applyAlignment="1">
      <alignment wrapText="1"/>
    </xf>
    <xf numFmtId="10" fontId="0" fillId="14" borderId="0" xfId="1" applyNumberFormat="1" applyFont="1" applyFill="1" applyProtection="1"/>
    <xf numFmtId="10" fontId="4" fillId="14" borderId="0" xfId="0" applyNumberFormat="1" applyFont="1" applyFill="1"/>
    <xf numFmtId="0" fontId="1" fillId="15" borderId="3" xfId="0" applyFont="1" applyFill="1" applyBorder="1" applyAlignment="1">
      <alignment wrapText="1"/>
    </xf>
    <xf numFmtId="0" fontId="0" fillId="15" borderId="4" xfId="0" applyFill="1" applyBorder="1"/>
    <xf numFmtId="0" fontId="0" fillId="15" borderId="13" xfId="0" applyFill="1" applyBorder="1"/>
    <xf numFmtId="0" fontId="4" fillId="15" borderId="0" xfId="0" applyFont="1" applyFill="1"/>
    <xf numFmtId="10" fontId="4" fillId="15" borderId="0" xfId="0" applyNumberFormat="1" applyFont="1" applyFill="1"/>
    <xf numFmtId="2" fontId="0" fillId="15" borderId="11" xfId="1" applyNumberFormat="1" applyFont="1" applyFill="1" applyBorder="1" applyProtection="1"/>
    <xf numFmtId="2" fontId="10" fillId="15" borderId="6" xfId="1" applyNumberFormat="1" applyFont="1" applyFill="1" applyBorder="1" applyProtection="1"/>
    <xf numFmtId="0" fontId="1" fillId="13" borderId="3" xfId="0" applyFont="1" applyFill="1" applyBorder="1" applyAlignment="1">
      <alignment wrapText="1"/>
    </xf>
    <xf numFmtId="10" fontId="0" fillId="13" borderId="3" xfId="1" applyNumberFormat="1" applyFont="1" applyFill="1" applyBorder="1" applyProtection="1"/>
    <xf numFmtId="10" fontId="0" fillId="13" borderId="12" xfId="1" applyNumberFormat="1" applyFont="1" applyFill="1" applyBorder="1" applyProtection="1"/>
    <xf numFmtId="10" fontId="4" fillId="13" borderId="0" xfId="0" applyNumberFormat="1" applyFont="1" applyFill="1"/>
    <xf numFmtId="2" fontId="1" fillId="15" borderId="1" xfId="0" applyNumberFormat="1" applyFont="1" applyFill="1" applyBorder="1"/>
    <xf numFmtId="0" fontId="1" fillId="13" borderId="0" xfId="0" applyFont="1" applyFill="1" applyAlignment="1">
      <alignment wrapText="1"/>
    </xf>
    <xf numFmtId="0" fontId="12" fillId="4" borderId="0" xfId="0" applyFont="1" applyFill="1"/>
    <xf numFmtId="0" fontId="11" fillId="4" borderId="0" xfId="0" applyFont="1" applyFill="1"/>
    <xf numFmtId="165" fontId="12" fillId="4" borderId="0" xfId="0" applyNumberFormat="1" applyFont="1" applyFill="1"/>
    <xf numFmtId="0" fontId="12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165" fontId="1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wrapText="1"/>
    </xf>
    <xf numFmtId="0" fontId="0" fillId="16" borderId="0" xfId="0" applyFill="1"/>
    <xf numFmtId="166" fontId="0" fillId="15" borderId="0" xfId="0" applyNumberFormat="1" applyFill="1"/>
    <xf numFmtId="166" fontId="18" fillId="15" borderId="0" xfId="0" applyNumberFormat="1" applyFont="1" applyFill="1"/>
    <xf numFmtId="0" fontId="18" fillId="13" borderId="0" xfId="0" applyFont="1" applyFill="1"/>
    <xf numFmtId="0" fontId="18" fillId="14" borderId="0" xfId="0" applyFont="1" applyFill="1" applyAlignment="1">
      <alignment horizontal="center"/>
    </xf>
    <xf numFmtId="0" fontId="18" fillId="12" borderId="0" xfId="0" applyFont="1" applyFill="1"/>
    <xf numFmtId="0" fontId="1" fillId="12" borderId="0" xfId="0" applyFont="1" applyFill="1" applyAlignment="1">
      <alignment horizontal="center"/>
    </xf>
    <xf numFmtId="0" fontId="1" fillId="12" borderId="0" xfId="0" applyFont="1" applyFill="1"/>
    <xf numFmtId="0" fontId="0" fillId="13" borderId="17" xfId="0" applyFill="1" applyBorder="1" applyAlignment="1">
      <alignment horizontal="left" wrapText="1" indent="1"/>
    </xf>
    <xf numFmtId="4" fontId="0" fillId="0" borderId="19" xfId="0" applyNumberFormat="1" applyBorder="1" applyAlignment="1">
      <alignment horizontal="right" wrapText="1"/>
    </xf>
    <xf numFmtId="4" fontId="0" fillId="0" borderId="23" xfId="0" applyNumberFormat="1" applyBorder="1" applyAlignment="1">
      <alignment horizontal="right" wrapText="1"/>
    </xf>
    <xf numFmtId="0" fontId="12" fillId="4" borderId="0" xfId="0" applyFont="1" applyFill="1" applyAlignment="1">
      <alignment horizontal="right" wrapText="1"/>
    </xf>
    <xf numFmtId="165" fontId="12" fillId="4" borderId="0" xfId="0" applyNumberFormat="1" applyFont="1" applyFill="1" applyAlignment="1">
      <alignment horizontal="right"/>
    </xf>
    <xf numFmtId="166" fontId="12" fillId="4" borderId="0" xfId="0" applyNumberFormat="1" applyFont="1" applyFill="1"/>
    <xf numFmtId="166" fontId="0" fillId="14" borderId="33" xfId="0" applyNumberFormat="1" applyFill="1" applyBorder="1"/>
    <xf numFmtId="166" fontId="0" fillId="14" borderId="5" xfId="0" applyNumberFormat="1" applyFill="1" applyBorder="1"/>
    <xf numFmtId="166" fontId="0" fillId="14" borderId="1" xfId="0" applyNumberFormat="1" applyFill="1" applyBorder="1"/>
    <xf numFmtId="166" fontId="0" fillId="14" borderId="14" xfId="0" applyNumberFormat="1" applyFill="1" applyBorder="1"/>
    <xf numFmtId="0" fontId="20" fillId="0" borderId="0" xfId="0" applyFont="1"/>
    <xf numFmtId="0" fontId="0" fillId="13" borderId="5" xfId="0" applyFill="1" applyBorder="1"/>
    <xf numFmtId="0" fontId="11" fillId="12" borderId="42" xfId="0" applyFont="1" applyFill="1" applyBorder="1"/>
    <xf numFmtId="0" fontId="10" fillId="0" borderId="0" xfId="0" applyFont="1"/>
    <xf numFmtId="0" fontId="10" fillId="0" borderId="0" xfId="0" applyFont="1" applyAlignment="1">
      <alignment wrapText="1"/>
    </xf>
    <xf numFmtId="0" fontId="1" fillId="17" borderId="0" xfId="0" applyFont="1" applyFill="1"/>
    <xf numFmtId="0" fontId="14" fillId="11" borderId="38" xfId="0" applyFont="1" applyFill="1" applyBorder="1"/>
    <xf numFmtId="0" fontId="14" fillId="11" borderId="39" xfId="0" applyFont="1" applyFill="1" applyBorder="1"/>
    <xf numFmtId="0" fontId="14" fillId="11" borderId="40" xfId="0" applyFont="1" applyFill="1" applyBorder="1" applyAlignment="1">
      <alignment wrapText="1"/>
    </xf>
    <xf numFmtId="0" fontId="1" fillId="18" borderId="0" xfId="0" applyFont="1" applyFill="1"/>
    <xf numFmtId="0" fontId="14" fillId="0" borderId="0" xfId="0" applyFont="1"/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/>
    <xf numFmtId="0" fontId="19" fillId="0" borderId="0" xfId="0" applyFont="1"/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right"/>
      <protection locked="0"/>
    </xf>
    <xf numFmtId="0" fontId="4" fillId="15" borderId="27" xfId="0" applyFont="1" applyFill="1" applyBorder="1" applyAlignment="1">
      <alignment horizontal="left" wrapText="1"/>
    </xf>
    <xf numFmtId="0" fontId="4" fillId="15" borderId="28" xfId="0" applyFont="1" applyFill="1" applyBorder="1" applyAlignment="1">
      <alignment horizontal="left" wrapText="1"/>
    </xf>
    <xf numFmtId="0" fontId="4" fillId="15" borderId="29" xfId="0" applyFont="1" applyFill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167" fontId="0" fillId="4" borderId="1" xfId="0" applyNumberFormat="1" applyFill="1" applyBorder="1" applyAlignment="1" applyProtection="1">
      <alignment horizontal="right"/>
      <protection locked="0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left" wrapText="1"/>
    </xf>
    <xf numFmtId="0" fontId="5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wrapText="1"/>
    </xf>
    <xf numFmtId="0" fontId="4" fillId="14" borderId="0" xfId="0" applyFont="1" applyFill="1" applyAlignment="1">
      <alignment horizontal="left" vertical="top" wrapText="1"/>
    </xf>
    <xf numFmtId="165" fontId="12" fillId="4" borderId="0" xfId="0" applyNumberFormat="1" applyFont="1" applyFill="1" applyAlignment="1"/>
  </cellXfs>
  <cellStyles count="3">
    <cellStyle name="Link" xfId="2" builtinId="8"/>
    <cellStyle name="Prozent" xfId="1" builtinId="5"/>
    <cellStyle name="Standard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CF51"/>
      <color rgb="FFF5D12E"/>
      <color rgb="FFD2E020"/>
      <color rgb="FF78A751"/>
      <color rgb="FF009656"/>
      <color rgb="FFF5F0CF"/>
      <color rgb="FFD1F7F0"/>
      <color rgb="FF74E8D2"/>
      <color rgb="FF016D9D"/>
      <color rgb="FFB9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sulla localizzazione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11B4-487B-982A-45E5D769F9FB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11B4-487B-982A-45E5D769F9FB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11B4-487B-982A-45E5D769F9FB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11B4-487B-982A-45E5D769F9FB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11B4-487B-982A-45E5D769F9FB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11B4-487B-982A-45E5D769F9FB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11B4-487B-982A-45E5D769F9FB}"/>
              </c:ext>
            </c:extLst>
          </c:dPt>
          <c:dLbls>
            <c:delete val="1"/>
          </c:dLbls>
          <c:cat>
            <c:strRef>
              <c:f>'Risultati 2024'!$P$22:$P$28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sulla localizzazione)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2024'!$Q$22:$Q$28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11B4-487B-982A-45E5D769F9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 mercato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D6-4A36-BC4D-8EBE2A47837C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D6-4A36-BC4D-8EBE2A47837C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D6-4A36-BC4D-8EBE2A47837C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D6-4A36-BC4D-8EBE2A47837C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D6-4A36-BC4D-8EBE2A47837C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D6-4A36-BC4D-8EBE2A47837C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D6-4A36-BC4D-8EBE2A47837C}"/>
              </c:ext>
            </c:extLst>
          </c:dPt>
          <c:dLbls>
            <c:delete val="1"/>
          </c:dLbls>
          <c:cat>
            <c:strRef>
              <c:f>'Risultati 2025'!$R$22:$R$28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 mercato)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2025'!$S$22:$S$28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D6-4A36-BC4D-8EBE2A4783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sulla localizzazione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46-4096-9579-A2AD3F436DC5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46-4096-9579-A2AD3F436DC5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46-4096-9579-A2AD3F436DC5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46-4096-9579-A2AD3F436DC5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46-4096-9579-A2AD3F436DC5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46-4096-9579-A2AD3F436DC5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146-4096-9579-A2AD3F436DC5}"/>
              </c:ext>
            </c:extLst>
          </c:dPt>
          <c:dLbls>
            <c:delete val="1"/>
          </c:dLbls>
          <c:cat>
            <c:strRef>
              <c:f>'Risultati 2026'!$P$22:$P$28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sulla localizzazione)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2026'!$Q$22:$Q$28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46-4096-9579-A2AD3F436D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/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sulla localizzazione</a:t>
            </a:r>
          </a:p>
        </c:rich>
      </c:tx>
      <c:layout>
        <c:manualLayout>
          <c:xMode val="edge"/>
          <c:yMode val="edge"/>
          <c:x val="0.1146767668308996"/>
          <c:y val="2.714564523515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0"/>
          <c:order val="0"/>
          <c:tx>
            <c:strRef>
              <c:f>'Risultati 2026'!$P$4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01-4D68-A766-1CA9BD550029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01-4D68-A766-1CA9BD550029}"/>
              </c:ext>
            </c:extLst>
          </c:dPt>
          <c:dLbls>
            <c:dLbl>
              <c:idx val="0"/>
              <c:layout>
                <c:manualLayout>
                  <c:x val="7.0397302718011173E-2"/>
                  <c:y val="5.6885173184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1-4D68-A766-1CA9BD550029}"/>
                </c:ext>
              </c:extLst>
            </c:dLbl>
            <c:dLbl>
              <c:idx val="1"/>
              <c:layout>
                <c:manualLayout>
                  <c:x val="-2.8108401962009068E-2"/>
                  <c:y val="-1.78372198452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1-4D68-A766-1CA9BD550029}"/>
                </c:ext>
              </c:extLst>
            </c:dLbl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'Risultati 2026'!$Q$3:$R$3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2026'!$Q$4:$R$4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1-4D68-A766-1CA9BD550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Emissioni totali per Scope</a:t>
            </a:r>
          </a:p>
        </c:rich>
      </c:tx>
      <c:layout>
        <c:manualLayout>
          <c:xMode val="edge"/>
          <c:yMode val="edge"/>
          <c:x val="0.13443687922473124"/>
          <c:y val="2.1285541841306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3081017030035"/>
          <c:y val="0.12855629636333774"/>
          <c:w val="0.84921906911096823"/>
          <c:h val="0.69624031670370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'Risultati 2026'!$Q$3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78A751"/>
            </a:solidFill>
            <a:ln>
              <a:solidFill>
                <a:srgbClr val="BFCF51"/>
              </a:solidFill>
            </a:ln>
            <a:effectLst/>
          </c:spPr>
          <c:invertIfNegative val="0"/>
          <c:cat>
            <c:strRef>
              <c:f>'Risultati 2026'!$P$4:$P$5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2026'!$Q$4:$Q$5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3-4711-BA13-D94A8432FABB}"/>
            </c:ext>
          </c:extLst>
        </c:ser>
        <c:ser>
          <c:idx val="1"/>
          <c:order val="1"/>
          <c:tx>
            <c:strRef>
              <c:f>'Risultati 2026'!$R$3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BFCF51"/>
            </a:solidFill>
            <a:ln>
              <a:noFill/>
            </a:ln>
            <a:effectLst/>
          </c:spPr>
          <c:invertIfNegative val="0"/>
          <c:cat>
            <c:strRef>
              <c:f>'Risultati 2026'!$P$4:$P$5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2026'!$R$4:$R$5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3-4711-BA13-D94A8432F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470768"/>
        <c:axId val="874468248"/>
      </c:barChart>
      <c:catAx>
        <c:axId val="8744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68248"/>
        <c:crosses val="autoZero"/>
        <c:auto val="1"/>
        <c:lblAlgn val="ctr"/>
        <c:lblOffset val="100"/>
        <c:noMultiLvlLbl val="0"/>
      </c:catAx>
      <c:valAx>
        <c:axId val="8744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[t CO2e]</a:t>
                </a:r>
              </a:p>
            </c:rich>
          </c:tx>
          <c:layout>
            <c:manualLayout>
              <c:xMode val="edge"/>
              <c:yMode val="edge"/>
              <c:x val="2.6208558034442647E-2"/>
              <c:y val="0.3460033857362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7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414532351406768E-2"/>
          <c:y val="0.91538902464778105"/>
          <c:w val="0.23620424862773698"/>
          <c:h val="6.1530696442936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 mercato</a:t>
            </a:r>
          </a:p>
        </c:rich>
      </c:tx>
      <c:layout>
        <c:manualLayout>
          <c:xMode val="edge"/>
          <c:yMode val="edge"/>
          <c:x val="0.11103836974208553"/>
          <c:y val="2.7145678170134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1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78A7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9-461E-B494-30E327F18CE1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9-461E-B494-30E327F18CE1}"/>
              </c:ext>
            </c:extLst>
          </c:dPt>
          <c:dLbls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'Risultati 2026'!$Q$17:$R$17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2026'!$Q$18:$R$18</c:f>
              <c:numCache>
                <c:formatCode>#,##0.0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B9-461E-B494-30E327F18CE1}"/>
            </c:ext>
          </c:extLst>
        </c:ser>
        <c:ser>
          <c:idx val="0"/>
          <c:order val="1"/>
          <c:tx>
            <c:strRef>
              <c:f>'Risultati 2026'!$P$4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AB9-461E-B494-30E327F18CE1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AB9-461E-B494-30E327F18CE1}"/>
              </c:ext>
            </c:extLst>
          </c:dPt>
          <c:dLbls>
            <c:dLbl>
              <c:idx val="0"/>
              <c:layout>
                <c:manualLayout>
                  <c:x val="2.5067479008785878E-2"/>
                  <c:y val="-2.7086051109328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B9-461E-B494-30E327F18CE1}"/>
                </c:ext>
              </c:extLst>
            </c:dLbl>
            <c:dLbl>
              <c:idx val="1"/>
              <c:layout>
                <c:manualLayout>
                  <c:x val="-4.9030026995563837E-2"/>
                  <c:y val="1.5021146932779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B9-461E-B494-30E327F18C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'Risultati 2026'!$Q$3:$R$3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2026'!$Q$4:$R$4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B9-461E-B494-30E327F1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 mercato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6A-4B17-BF2E-B867C0110F95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6A-4B17-BF2E-B867C0110F95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6A-4B17-BF2E-B867C0110F95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6A-4B17-BF2E-B867C0110F95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6A-4B17-BF2E-B867C0110F95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6A-4B17-BF2E-B867C0110F95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6A-4B17-BF2E-B867C0110F95}"/>
              </c:ext>
            </c:extLst>
          </c:dPt>
          <c:dLbls>
            <c:delete val="1"/>
          </c:dLbls>
          <c:cat>
            <c:strRef>
              <c:f>'Risultati 2026'!$R$22:$R$28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 mercato)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2026'!$S$22:$S$28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56A-4B17-BF2E-B867C0110F9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Emissioni totali per Scope (Scope 2 basato sulla localizzazione) </a:t>
            </a:r>
          </a:p>
        </c:rich>
      </c:tx>
      <c:layout>
        <c:manualLayout>
          <c:xMode val="edge"/>
          <c:yMode val="edge"/>
          <c:x val="0.13443687922473124"/>
          <c:y val="2.1285541841306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3081017030035"/>
          <c:y val="0.12855629636333774"/>
          <c:w val="0.84921906911096823"/>
          <c:h val="0.69624031670370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'Risultati nel tempo'!$S$3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78A751"/>
            </a:solidFill>
            <a:ln>
              <a:solidFill>
                <a:srgbClr val="BFCF51"/>
              </a:solidFill>
            </a:ln>
            <a:effectLst/>
          </c:spPr>
          <c:invertIfNegative val="0"/>
          <c:cat>
            <c:numRef>
              <c:f>'Risultati nel tempo'!$R$4:$R$6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'Risultati nel tempo'!$S$4:$S$6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A-49F6-A8AC-F05258130CF6}"/>
            </c:ext>
          </c:extLst>
        </c:ser>
        <c:ser>
          <c:idx val="1"/>
          <c:order val="1"/>
          <c:tx>
            <c:strRef>
              <c:f>'Risultati nel tempo'!$T$3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BFCF51"/>
            </a:solidFill>
            <a:ln>
              <a:noFill/>
            </a:ln>
            <a:effectLst/>
          </c:spPr>
          <c:invertIfNegative val="0"/>
          <c:cat>
            <c:numRef>
              <c:f>'Risultati nel tempo'!$R$4:$R$6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'Risultati nel tempo'!$T$4:$T$6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A-49F6-A8AC-F0525813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470768"/>
        <c:axId val="874468248"/>
      </c:barChart>
      <c:catAx>
        <c:axId val="87447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anno</a:t>
                </a:r>
              </a:p>
            </c:rich>
          </c:tx>
          <c:layout>
            <c:manualLayout>
              <c:xMode val="edge"/>
              <c:yMode val="edge"/>
              <c:x val="0.50269480399304134"/>
              <c:y val="0.90149643179979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68248"/>
        <c:crosses val="autoZero"/>
        <c:auto val="1"/>
        <c:lblAlgn val="ctr"/>
        <c:lblOffset val="100"/>
        <c:noMultiLvlLbl val="0"/>
      </c:catAx>
      <c:valAx>
        <c:axId val="8744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[t CO2e]</a:t>
                </a:r>
              </a:p>
            </c:rich>
          </c:tx>
          <c:layout>
            <c:manualLayout>
              <c:xMode val="edge"/>
              <c:yMode val="edge"/>
              <c:x val="2.6208558034442647E-2"/>
              <c:y val="0.3460033857362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7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414532351406768E-2"/>
          <c:y val="0.91538902464778105"/>
          <c:w val="0.23620424862773698"/>
          <c:h val="6.1530696442936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Emissioni totali per Scope (Scope 2 basato sul mercato)</a:t>
            </a:r>
          </a:p>
        </c:rich>
      </c:tx>
      <c:layout>
        <c:manualLayout>
          <c:xMode val="edge"/>
          <c:yMode val="edge"/>
          <c:x val="0.13443687922473124"/>
          <c:y val="2.128554184130686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643081017030035"/>
          <c:y val="0.12855629636333774"/>
          <c:w val="0.84921906911096823"/>
          <c:h val="0.69624031670370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'Risultati nel tempo'!$S$10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78A751"/>
            </a:solidFill>
            <a:ln>
              <a:solidFill>
                <a:srgbClr val="BFCF51"/>
              </a:solidFill>
            </a:ln>
            <a:effectLst/>
          </c:spPr>
          <c:invertIfNegative val="0"/>
          <c:cat>
            <c:numRef>
              <c:f>'Risultati nel tempo'!$R$11:$R$13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'Risultati nel tempo'!$S$11:$S$13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37-4AEC-A190-2066908F7BFC}"/>
            </c:ext>
          </c:extLst>
        </c:ser>
        <c:ser>
          <c:idx val="1"/>
          <c:order val="1"/>
          <c:tx>
            <c:strRef>
              <c:f>'Risultati nel tempo'!$T$10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BFCF51"/>
            </a:solidFill>
            <a:ln>
              <a:noFill/>
            </a:ln>
            <a:effectLst/>
          </c:spPr>
          <c:invertIfNegative val="0"/>
          <c:cat>
            <c:numRef>
              <c:f>'Risultati nel tempo'!$R$11:$R$13</c:f>
              <c:numCache>
                <c:formatCode>General</c:formatCod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numCache>
            </c:numRef>
          </c:cat>
          <c:val>
            <c:numRef>
              <c:f>'Risultati nel tempo'!$T$11:$T$13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37-4AEC-A190-2066908F7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470768"/>
        <c:axId val="874468248"/>
      </c:barChart>
      <c:catAx>
        <c:axId val="87447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anno</a:t>
                </a:r>
              </a:p>
            </c:rich>
          </c:tx>
          <c:layout>
            <c:manualLayout>
              <c:xMode val="edge"/>
              <c:yMode val="edge"/>
              <c:x val="0.50269480399304134"/>
              <c:y val="0.90149643179979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68248"/>
        <c:crosses val="autoZero"/>
        <c:auto val="1"/>
        <c:lblAlgn val="ctr"/>
        <c:lblOffset val="100"/>
        <c:noMultiLvlLbl val="0"/>
      </c:catAx>
      <c:valAx>
        <c:axId val="8744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[t CO2e]</a:t>
                </a:r>
              </a:p>
            </c:rich>
          </c:tx>
          <c:layout>
            <c:manualLayout>
              <c:xMode val="edge"/>
              <c:yMode val="edge"/>
              <c:x val="2.6208558034442647E-2"/>
              <c:y val="0.346003385736230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70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414532351406768E-2"/>
          <c:y val="0.91538902464778105"/>
          <c:w val="0.23620424862773698"/>
          <c:h val="6.1530696442936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/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sulla localizzazione</a:t>
            </a:r>
          </a:p>
        </c:rich>
      </c:tx>
      <c:layout>
        <c:manualLayout>
          <c:xMode val="edge"/>
          <c:yMode val="edge"/>
          <c:x val="0.1146767668308996"/>
          <c:y val="2.714564523515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0"/>
          <c:order val="0"/>
          <c:tx>
            <c:strRef>
              <c:f>'Risultati 2024'!$P$4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E-460D-A703-6E9489D5C5AD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E-460D-A703-6E9489D5C5AD}"/>
              </c:ext>
            </c:extLst>
          </c:dPt>
          <c:dLbls>
            <c:dLbl>
              <c:idx val="0"/>
              <c:layout>
                <c:manualLayout>
                  <c:x val="7.0397302718011173E-2"/>
                  <c:y val="5.6885173184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CE-460D-A703-6E9489D5C5AD}"/>
                </c:ext>
              </c:extLst>
            </c:dLbl>
            <c:dLbl>
              <c:idx val="1"/>
              <c:layout>
                <c:manualLayout>
                  <c:x val="-2.8108401962009068E-2"/>
                  <c:y val="-1.78372198452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E-460D-A703-6E9489D5C5AD}"/>
                </c:ext>
              </c:extLst>
            </c:dLbl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'Risultati 2024'!$Q$3:$R$3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2024'!$Q$4:$R$4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CE-460D-A703-6E9489D5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Emissioni totali per Scope</a:t>
            </a:r>
          </a:p>
        </c:rich>
      </c:tx>
      <c:layout>
        <c:manualLayout>
          <c:xMode val="edge"/>
          <c:yMode val="edge"/>
          <c:x val="0.13443687922473124"/>
          <c:y val="2.1285541841306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3081017030035"/>
          <c:y val="0.12855629636333774"/>
          <c:w val="0.84921906911096823"/>
          <c:h val="0.69624031670370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'Risultati 2024'!$Q$3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78A751"/>
            </a:solidFill>
            <a:ln>
              <a:solidFill>
                <a:srgbClr val="BFCF51"/>
              </a:solidFill>
            </a:ln>
            <a:effectLst/>
          </c:spPr>
          <c:invertIfNegative val="0"/>
          <c:cat>
            <c:strRef>
              <c:f>'Risultati 2024'!$P$4:$P$5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2024'!$Q$4:$Q$5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0-4CC5-9C42-75A55747A34D}"/>
            </c:ext>
          </c:extLst>
        </c:ser>
        <c:ser>
          <c:idx val="1"/>
          <c:order val="1"/>
          <c:tx>
            <c:strRef>
              <c:f>'Risultati 2024'!$R$3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BFCF51"/>
            </a:solidFill>
            <a:ln>
              <a:noFill/>
            </a:ln>
            <a:effectLst/>
          </c:spPr>
          <c:invertIfNegative val="0"/>
          <c:cat>
            <c:strRef>
              <c:f>'Risultati 2024'!$P$4:$P$5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2024'!$R$4:$R$5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0-4CC5-9C42-75A55747A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470768"/>
        <c:axId val="874468248"/>
      </c:barChart>
      <c:catAx>
        <c:axId val="8744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68248"/>
        <c:crosses val="autoZero"/>
        <c:auto val="1"/>
        <c:lblAlgn val="ctr"/>
        <c:lblOffset val="100"/>
        <c:noMultiLvlLbl val="0"/>
      </c:catAx>
      <c:valAx>
        <c:axId val="8744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[t CO2e]</a:t>
                </a:r>
              </a:p>
            </c:rich>
          </c:tx>
          <c:layout>
            <c:manualLayout>
              <c:xMode val="edge"/>
              <c:yMode val="edge"/>
              <c:x val="2.6208558034442647E-2"/>
              <c:y val="0.3460033857362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7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414532351406768E-2"/>
          <c:y val="0.91538902464778105"/>
          <c:w val="0.23620424862773698"/>
          <c:h val="6.1530696442936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 mercato</a:t>
            </a:r>
          </a:p>
        </c:rich>
      </c:tx>
      <c:layout>
        <c:manualLayout>
          <c:xMode val="edge"/>
          <c:yMode val="edge"/>
          <c:x val="0.11103836974208553"/>
          <c:y val="2.7145678170134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1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78A7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D9-42D0-AA99-5FDE62CB2EAC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2D9-42D0-AA99-5FDE62CB2EAC}"/>
              </c:ext>
            </c:extLst>
          </c:dPt>
          <c:dLbls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'Risultati 2024'!$Q$17:$R$17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2024'!$Q$18:$R$18</c:f>
              <c:numCache>
                <c:formatCode>#,##0.0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D9-42D0-AA99-5FDE62CB2EAC}"/>
            </c:ext>
          </c:extLst>
        </c:ser>
        <c:ser>
          <c:idx val="0"/>
          <c:order val="1"/>
          <c:tx>
            <c:strRef>
              <c:f>'Risultati 2024'!$P$4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D9-42D0-AA99-5FDE62CB2EAC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D9-42D0-AA99-5FDE62CB2EAC}"/>
              </c:ext>
            </c:extLst>
          </c:dPt>
          <c:dLbls>
            <c:dLbl>
              <c:idx val="0"/>
              <c:layout>
                <c:manualLayout>
                  <c:x val="2.5067479008785878E-2"/>
                  <c:y val="-2.7086051109328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9-42D0-AA99-5FDE62CB2EAC}"/>
                </c:ext>
              </c:extLst>
            </c:dLbl>
            <c:dLbl>
              <c:idx val="1"/>
              <c:layout>
                <c:manualLayout>
                  <c:x val="-4.9030026995563837E-2"/>
                  <c:y val="1.5021146932779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9-42D0-AA99-5FDE62CB2EA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'Risultati 2024'!$Q$3:$R$3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2024'!$Q$4:$R$4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D9-42D0-AA99-5FDE62CB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 mercato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285-41F3-8419-8E80F359D2B7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285-41F3-8419-8E80F359D2B7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285-41F3-8419-8E80F359D2B7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285-41F3-8419-8E80F359D2B7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285-41F3-8419-8E80F359D2B7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285-41F3-8419-8E80F359D2B7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285-41F3-8419-8E80F359D2B7}"/>
              </c:ext>
            </c:extLst>
          </c:dPt>
          <c:dLbls>
            <c:delete val="1"/>
          </c:dLbls>
          <c:cat>
            <c:strRef>
              <c:f>'Risultati 2024'!$R$22:$R$28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 mercato)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2024'!$S$22:$S$28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285-41F3-8419-8E80F359D2B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200" b="1" i="0" u="none" strike="noStrike" kern="1200" spc="0" baseline="0">
                <a:solidFill>
                  <a:srgbClr val="0E284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2024 per categoria. Scope 2 basato sulla localizzazione</a:t>
            </a:r>
          </a:p>
        </c:rich>
      </c:tx>
      <c:layout>
        <c:manualLayout>
          <c:xMode val="edge"/>
          <c:yMode val="edge"/>
          <c:x val="0.13465574927972165"/>
          <c:y val="2.1444124252365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97-42DF-AB34-265D025722AE}"/>
              </c:ext>
            </c:extLst>
          </c:dPt>
          <c:dPt>
            <c:idx val="1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97-42DF-AB34-265D025722AE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78A7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100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97-42DF-AB34-265D025722AE}"/>
              </c:ext>
            </c:extLst>
          </c:dPt>
          <c:dPt>
            <c:idx val="3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65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97-42DF-AB34-265D025722AE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97-42DF-AB34-265D025722AE}"/>
              </c:ext>
            </c:extLst>
          </c:dPt>
          <c:dPt>
            <c:idx val="5"/>
            <c:bubble3D val="0"/>
            <c:spPr>
              <a:gradFill>
                <a:gsLst>
                  <a:gs pos="0">
                    <a:srgbClr val="BFCF51"/>
                  </a:gs>
                  <a:gs pos="100000">
                    <a:srgbClr val="BFCF51"/>
                  </a:gs>
                  <a:gs pos="100000">
                    <a:schemeClr val="accent2">
                      <a:lumMod val="45000"/>
                      <a:lumOff val="55000"/>
                    </a:schemeClr>
                  </a:gs>
                  <a:gs pos="71000">
                    <a:schemeClr val="accent2">
                      <a:lumMod val="30000"/>
                      <a:lumOff val="70000"/>
                    </a:schemeClr>
                  </a:gs>
                </a:gsLst>
                <a:lin ang="2700000" scaled="0"/>
              </a:gra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97-42DF-AB34-265D025722AE}"/>
              </c:ext>
            </c:extLst>
          </c:dPt>
          <c:dPt>
            <c:idx val="6"/>
            <c:bubble3D val="0"/>
            <c:spPr>
              <a:solidFill>
                <a:srgbClr val="BFCF5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97-42DF-AB34-265D025722AE}"/>
              </c:ext>
            </c:extLst>
          </c:dPt>
          <c:dLbls>
            <c:delete val="1"/>
          </c:dLbls>
          <c:cat>
            <c:strRef>
              <c:f>'Risultati 2025'!$P$22:$P$28</c:f>
              <c:strCache>
                <c:ptCount val="7"/>
                <c:pt idx="0">
                  <c:v>Fonti energetiche stazionarie</c:v>
                </c:pt>
                <c:pt idx="1">
                  <c:v>Parco veicoli</c:v>
                </c:pt>
                <c:pt idx="2">
                  <c:v>Refrigeranti/gas volatili</c:v>
                </c:pt>
                <c:pt idx="3">
                  <c:v>Consumo di energia elettrica (basato sulla localizzazione)</c:v>
                </c:pt>
                <c:pt idx="4">
                  <c:v>Consumo di energia elettrica per i veicoli</c:v>
                </c:pt>
                <c:pt idx="5">
                  <c:v>Teleriscaldamento</c:v>
                </c:pt>
                <c:pt idx="6">
                  <c:v>Altra tipologia di fornitura locale di calore e/o raffreddamento</c:v>
                </c:pt>
              </c:strCache>
            </c:strRef>
          </c:cat>
          <c:val>
            <c:numRef>
              <c:f>'Risultati 2025'!$Q$22:$Q$28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97-42DF-AB34-265D025722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/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sulla localizzazione</a:t>
            </a:r>
          </a:p>
        </c:rich>
      </c:tx>
      <c:layout>
        <c:manualLayout>
          <c:xMode val="edge"/>
          <c:yMode val="edge"/>
          <c:x val="0.1146767668308996"/>
          <c:y val="2.714564523515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0"/>
          <c:order val="0"/>
          <c:tx>
            <c:strRef>
              <c:f>'Risultati 2025'!$P$4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B4-4B68-8341-1953404E6DAA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B4-4B68-8341-1953404E6DAA}"/>
              </c:ext>
            </c:extLst>
          </c:dPt>
          <c:dLbls>
            <c:dLbl>
              <c:idx val="0"/>
              <c:layout>
                <c:manualLayout>
                  <c:x val="7.0397302718011173E-2"/>
                  <c:y val="5.688517318472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B4-4B68-8341-1953404E6DAA}"/>
                </c:ext>
              </c:extLst>
            </c:dLbl>
            <c:dLbl>
              <c:idx val="1"/>
              <c:layout>
                <c:manualLayout>
                  <c:x val="-2.8108401962009068E-2"/>
                  <c:y val="-1.783721984528695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B4-4B68-8341-1953404E6DAA}"/>
                </c:ext>
              </c:extLst>
            </c:dLbl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'Risultati 2025'!$Q$3:$R$3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2025'!$Q$4:$R$4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B4-4B68-8341-1953404E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Emissioni totali per Scope</a:t>
            </a:r>
          </a:p>
        </c:rich>
      </c:tx>
      <c:layout>
        <c:manualLayout>
          <c:xMode val="edge"/>
          <c:yMode val="edge"/>
          <c:x val="0.13443687922473124"/>
          <c:y val="2.1285541841306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43081017030035"/>
          <c:y val="0.12855629636333774"/>
          <c:w val="0.84921906911096823"/>
          <c:h val="0.69624031670370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'Risultati 2025'!$Q$3</c:f>
              <c:strCache>
                <c:ptCount val="1"/>
                <c:pt idx="0">
                  <c:v>Scope 1</c:v>
                </c:pt>
              </c:strCache>
            </c:strRef>
          </c:tx>
          <c:spPr>
            <a:solidFill>
              <a:srgbClr val="78A751"/>
            </a:solidFill>
            <a:ln>
              <a:solidFill>
                <a:srgbClr val="BFCF51"/>
              </a:solidFill>
            </a:ln>
            <a:effectLst/>
          </c:spPr>
          <c:invertIfNegative val="0"/>
          <c:cat>
            <c:strRef>
              <c:f>'Risultati 2025'!$P$4:$P$5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2025'!$Q$4:$Q$5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507-A48C-138FEC164DE8}"/>
            </c:ext>
          </c:extLst>
        </c:ser>
        <c:ser>
          <c:idx val="1"/>
          <c:order val="1"/>
          <c:tx>
            <c:strRef>
              <c:f>'Risultati 2025'!$R$3</c:f>
              <c:strCache>
                <c:ptCount val="1"/>
                <c:pt idx="0">
                  <c:v>Scope 2</c:v>
                </c:pt>
              </c:strCache>
            </c:strRef>
          </c:tx>
          <c:spPr>
            <a:solidFill>
              <a:srgbClr val="BFCF51"/>
            </a:solidFill>
            <a:ln>
              <a:noFill/>
            </a:ln>
            <a:effectLst/>
          </c:spPr>
          <c:invertIfNegative val="0"/>
          <c:cat>
            <c:strRef>
              <c:f>'Risultati 2025'!$P$4:$P$5</c:f>
              <c:strCache>
                <c:ptCount val="2"/>
                <c:pt idx="0">
                  <c:v>con Scope 2 basato sulla localizzazione</c:v>
                </c:pt>
                <c:pt idx="1">
                  <c:v>mit Scope 2 basato sul mercato</c:v>
                </c:pt>
              </c:strCache>
            </c:strRef>
          </c:cat>
          <c:val>
            <c:numRef>
              <c:f>'Risultati 2025'!$R$4:$R$5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507-A48C-138FEC16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4470768"/>
        <c:axId val="874468248"/>
      </c:barChart>
      <c:catAx>
        <c:axId val="8744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68248"/>
        <c:crosses val="autoZero"/>
        <c:auto val="1"/>
        <c:lblAlgn val="ctr"/>
        <c:lblOffset val="100"/>
        <c:noMultiLvlLbl val="0"/>
      </c:catAx>
      <c:valAx>
        <c:axId val="8744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[t CO2e]</a:t>
                </a:r>
              </a:p>
            </c:rich>
          </c:tx>
          <c:layout>
            <c:manualLayout>
              <c:xMode val="edge"/>
              <c:yMode val="edge"/>
              <c:x val="2.6208558034442647E-2"/>
              <c:y val="0.34600338573623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7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414532351406768E-2"/>
          <c:y val="0.91538902464778105"/>
          <c:w val="0.23620424862773698"/>
          <c:h val="6.1530696442936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Distribuzione delle emissioni per Scope.</a:t>
            </a:r>
          </a:p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Scope 2 basato sul mercato</a:t>
            </a:r>
          </a:p>
        </c:rich>
      </c:tx>
      <c:layout>
        <c:manualLayout>
          <c:xMode val="edge"/>
          <c:yMode val="edge"/>
          <c:x val="0.11103836974208553"/>
          <c:y val="2.7145678170134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393660531697358E-2"/>
          <c:y val="0.21394475223307366"/>
          <c:w val="0.81876278118609402"/>
          <c:h val="0.58641793607574755"/>
        </c:manualLayout>
      </c:layout>
      <c:pieChart>
        <c:varyColors val="1"/>
        <c:ser>
          <c:idx val="1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78A7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3C-4BB4-A4E3-CCB8D83F0CE5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73C-4BB4-A4E3-CCB8D83F0CE5}"/>
              </c:ext>
            </c:extLst>
          </c:dPt>
          <c:dLbls>
            <c:numFmt formatCode="0%;\-0%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'Risultati 2025'!$Q$17:$R$17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2025'!$Q$18:$R$18</c:f>
              <c:numCache>
                <c:formatCode>#,##0.0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3C-4BB4-A4E3-CCB8D83F0CE5}"/>
            </c:ext>
          </c:extLst>
        </c:ser>
        <c:ser>
          <c:idx val="0"/>
          <c:order val="1"/>
          <c:tx>
            <c:strRef>
              <c:f>'Risultati 2025'!$P$4</c:f>
              <c:strCache>
                <c:ptCount val="1"/>
                <c:pt idx="0">
                  <c:v>con Scope 2 basato sulla localizzazione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rgbClr val="78A7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73C-4BB4-A4E3-CCB8D83F0CE5}"/>
              </c:ext>
            </c:extLst>
          </c:dPt>
          <c:dPt>
            <c:idx val="1"/>
            <c:bubble3D val="0"/>
            <c:spPr>
              <a:solidFill>
                <a:srgbClr val="BFCF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73C-4BB4-A4E3-CCB8D83F0CE5}"/>
              </c:ext>
            </c:extLst>
          </c:dPt>
          <c:dLbls>
            <c:dLbl>
              <c:idx val="0"/>
              <c:layout>
                <c:manualLayout>
                  <c:x val="2.5067479008785878E-2"/>
                  <c:y val="-2.7086051109328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3C-4BB4-A4E3-CCB8D83F0CE5}"/>
                </c:ext>
              </c:extLst>
            </c:dLbl>
            <c:dLbl>
              <c:idx val="1"/>
              <c:layout>
                <c:manualLayout>
                  <c:x val="-4.9030026995563837E-2"/>
                  <c:y val="1.5021146932779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3C-4BB4-A4E3-CCB8D83F0CE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'Risultati 2025'!$Q$3:$R$3</c:f>
              <c:strCache>
                <c:ptCount val="2"/>
                <c:pt idx="0">
                  <c:v>Scope 1</c:v>
                </c:pt>
                <c:pt idx="1">
                  <c:v>Scope 2</c:v>
                </c:pt>
              </c:strCache>
            </c:strRef>
          </c:cat>
          <c:val>
            <c:numRef>
              <c:f>'Risultati 2025'!$Q$4:$R$4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3C-4BB4-A4E3-CCB8D83F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95252</xdr:rowOff>
    </xdr:from>
    <xdr:to>
      <xdr:col>14</xdr:col>
      <xdr:colOff>57150</xdr:colOff>
      <xdr:row>4</xdr:row>
      <xdr:rowOff>231945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4C809-966D-3CBD-1B58-F1DC24C06A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53"/>
        <a:stretch/>
      </xdr:blipFill>
      <xdr:spPr bwMode="auto">
        <a:xfrm>
          <a:off x="104775" y="95252"/>
          <a:ext cx="8486775" cy="1498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333860</xdr:colOff>
      <xdr:row>30</xdr:row>
      <xdr:rowOff>178842</xdr:rowOff>
    </xdr:from>
    <xdr:to>
      <xdr:col>8</xdr:col>
      <xdr:colOff>305519</xdr:colOff>
      <xdr:row>52</xdr:row>
      <xdr:rowOff>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70F2F1F0-32E5-18A2-3D35-4146F0E5B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329559</xdr:colOff>
      <xdr:row>17</xdr:row>
      <xdr:rowOff>88813</xdr:rowOff>
    </xdr:from>
    <xdr:to>
      <xdr:col>8</xdr:col>
      <xdr:colOff>305518</xdr:colOff>
      <xdr:row>30</xdr:row>
      <xdr:rowOff>53915</xdr:rowOff>
    </xdr:to>
    <xdr:graphicFrame macro="">
      <xdr:nvGraphicFramePr>
        <xdr:cNvPr id="2" name="Diagramm 11">
          <a:extLst>
            <a:ext uri="{FF2B5EF4-FFF2-40B4-BE49-F238E27FC236}">
              <a16:creationId xmlns:a16="http://schemas.microsoft.com/office/drawing/2014/main" id="{3460B389-AD00-BB4D-05A6-D6D8A1020C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344692</xdr:colOff>
      <xdr:row>1</xdr:row>
      <xdr:rowOff>180718</xdr:rowOff>
    </xdr:from>
    <xdr:to>
      <xdr:col>14</xdr:col>
      <xdr:colOff>395377</xdr:colOff>
      <xdr:row>17</xdr:row>
      <xdr:rowOff>8984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7E04144-1468-9FE9-84DF-B2093AD24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427725</xdr:colOff>
      <xdr:row>17</xdr:row>
      <xdr:rowOff>102079</xdr:rowOff>
    </xdr:from>
    <xdr:to>
      <xdr:col>14</xdr:col>
      <xdr:colOff>395377</xdr:colOff>
      <xdr:row>30</xdr:row>
      <xdr:rowOff>53915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AF89A8-35D6-4B1F-FFE4-C3EAC1325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422335</xdr:colOff>
      <xdr:row>30</xdr:row>
      <xdr:rowOff>179717</xdr:rowOff>
    </xdr:from>
    <xdr:to>
      <xdr:col>14</xdr:col>
      <xdr:colOff>393993</xdr:colOff>
      <xdr:row>52</xdr:row>
      <xdr:rowOff>875</xdr:rowOff>
    </xdr:to>
    <xdr:graphicFrame macro="">
      <xdr:nvGraphicFramePr>
        <xdr:cNvPr id="5" name="Diagramm 12">
          <a:extLst>
            <a:ext uri="{FF2B5EF4-FFF2-40B4-BE49-F238E27FC236}">
              <a16:creationId xmlns:a16="http://schemas.microsoft.com/office/drawing/2014/main" id="{00A568ED-483D-47D2-BE17-5F6048CA6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333860</xdr:colOff>
      <xdr:row>30</xdr:row>
      <xdr:rowOff>178842</xdr:rowOff>
    </xdr:from>
    <xdr:to>
      <xdr:col>8</xdr:col>
      <xdr:colOff>305519</xdr:colOff>
      <xdr:row>52</xdr:row>
      <xdr:rowOff>0</xdr:rowOff>
    </xdr:to>
    <xdr:graphicFrame macro="">
      <xdr:nvGraphicFramePr>
        <xdr:cNvPr id="2" name="Diagramm 12">
          <a:extLst>
            <a:ext uri="{FF2B5EF4-FFF2-40B4-BE49-F238E27FC236}">
              <a16:creationId xmlns:a16="http://schemas.microsoft.com/office/drawing/2014/main" id="{05DC501B-480C-44AD-AB12-DD0E38CB0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329559</xdr:colOff>
      <xdr:row>17</xdr:row>
      <xdr:rowOff>88813</xdr:rowOff>
    </xdr:from>
    <xdr:to>
      <xdr:col>8</xdr:col>
      <xdr:colOff>305518</xdr:colOff>
      <xdr:row>30</xdr:row>
      <xdr:rowOff>53915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6F5E9F42-4776-44A3-88A7-11EE9F684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344692</xdr:colOff>
      <xdr:row>1</xdr:row>
      <xdr:rowOff>180718</xdr:rowOff>
    </xdr:from>
    <xdr:to>
      <xdr:col>14</xdr:col>
      <xdr:colOff>395377</xdr:colOff>
      <xdr:row>17</xdr:row>
      <xdr:rowOff>8984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8343A57-8286-4409-9BB2-07FAA2F03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427725</xdr:colOff>
      <xdr:row>17</xdr:row>
      <xdr:rowOff>102079</xdr:rowOff>
    </xdr:from>
    <xdr:to>
      <xdr:col>14</xdr:col>
      <xdr:colOff>395377</xdr:colOff>
      <xdr:row>30</xdr:row>
      <xdr:rowOff>53915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DD9AB12-2CDB-4A18-8549-E08F0D842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422335</xdr:colOff>
      <xdr:row>30</xdr:row>
      <xdr:rowOff>179717</xdr:rowOff>
    </xdr:from>
    <xdr:to>
      <xdr:col>14</xdr:col>
      <xdr:colOff>393993</xdr:colOff>
      <xdr:row>52</xdr:row>
      <xdr:rowOff>875</xdr:rowOff>
    </xdr:to>
    <xdr:graphicFrame macro="">
      <xdr:nvGraphicFramePr>
        <xdr:cNvPr id="6" name="Diagramm 12">
          <a:extLst>
            <a:ext uri="{FF2B5EF4-FFF2-40B4-BE49-F238E27FC236}">
              <a16:creationId xmlns:a16="http://schemas.microsoft.com/office/drawing/2014/main" id="{35FC1FB6-384F-4448-9AFC-7A64E601B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333860</xdr:colOff>
      <xdr:row>30</xdr:row>
      <xdr:rowOff>178842</xdr:rowOff>
    </xdr:from>
    <xdr:to>
      <xdr:col>8</xdr:col>
      <xdr:colOff>305519</xdr:colOff>
      <xdr:row>52</xdr:row>
      <xdr:rowOff>0</xdr:rowOff>
    </xdr:to>
    <xdr:graphicFrame macro="">
      <xdr:nvGraphicFramePr>
        <xdr:cNvPr id="2" name="Diagramm 12">
          <a:extLst>
            <a:ext uri="{FF2B5EF4-FFF2-40B4-BE49-F238E27FC236}">
              <a16:creationId xmlns:a16="http://schemas.microsoft.com/office/drawing/2014/main" id="{36E989BF-74B3-462E-9458-F9071D0A3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329559</xdr:colOff>
      <xdr:row>17</xdr:row>
      <xdr:rowOff>88813</xdr:rowOff>
    </xdr:from>
    <xdr:to>
      <xdr:col>8</xdr:col>
      <xdr:colOff>305518</xdr:colOff>
      <xdr:row>30</xdr:row>
      <xdr:rowOff>53915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A8D5D066-DCC4-4FCD-8080-AB8105F44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344692</xdr:colOff>
      <xdr:row>1</xdr:row>
      <xdr:rowOff>180718</xdr:rowOff>
    </xdr:from>
    <xdr:to>
      <xdr:col>14</xdr:col>
      <xdr:colOff>395377</xdr:colOff>
      <xdr:row>17</xdr:row>
      <xdr:rowOff>8984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F367E87-05C8-4994-A0DE-073900F68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427725</xdr:colOff>
      <xdr:row>17</xdr:row>
      <xdr:rowOff>102079</xdr:rowOff>
    </xdr:from>
    <xdr:to>
      <xdr:col>14</xdr:col>
      <xdr:colOff>395377</xdr:colOff>
      <xdr:row>30</xdr:row>
      <xdr:rowOff>53915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525174-DBA3-465B-ACFC-A255E0527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422335</xdr:colOff>
      <xdr:row>30</xdr:row>
      <xdr:rowOff>179717</xdr:rowOff>
    </xdr:from>
    <xdr:to>
      <xdr:col>14</xdr:col>
      <xdr:colOff>393993</xdr:colOff>
      <xdr:row>52</xdr:row>
      <xdr:rowOff>875</xdr:rowOff>
    </xdr:to>
    <xdr:graphicFrame macro="">
      <xdr:nvGraphicFramePr>
        <xdr:cNvPr id="6" name="Diagramm 12">
          <a:extLst>
            <a:ext uri="{FF2B5EF4-FFF2-40B4-BE49-F238E27FC236}">
              <a16:creationId xmlns:a16="http://schemas.microsoft.com/office/drawing/2014/main" id="{AB3CB2C5-0F00-4DC9-9B76-3AB8F1C73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2</xdr:row>
      <xdr:rowOff>10528</xdr:rowOff>
    </xdr:from>
    <xdr:to>
      <xdr:col>16</xdr:col>
      <xdr:colOff>285749</xdr:colOff>
      <xdr:row>19</xdr:row>
      <xdr:rowOff>104775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FD6D9B0B-16F7-4CBA-8A70-897018D3C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561975</xdr:colOff>
      <xdr:row>20</xdr:row>
      <xdr:rowOff>104775</xdr:rowOff>
    </xdr:from>
    <xdr:to>
      <xdr:col>16</xdr:col>
      <xdr:colOff>285750</xdr:colOff>
      <xdr:row>40</xdr:row>
      <xdr:rowOff>141872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867284F6-A89E-4920-9E4D-3A9153148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3C93D4-480E-43CA-BCC6-0DD947A0793F}" name="Erdgas" displayName="Erdgas" ref="A3:C5" totalsRowShown="0" headerRowDxfId="40">
  <autoFilter ref="A3:C5" xr:uid="{863C93D4-480E-43CA-BCC6-0DD947A0793F}"/>
  <tableColumns count="3">
    <tableColumn id="2" xr3:uid="{35E74B55-C769-4685-BBBA-AD94CB9A2F33}" name="Gas naturale"/>
    <tableColumn id="3" xr3:uid="{0283497A-CA1A-4F91-90DE-74CC2CAF0E86}" name="EF (kg/unità)"/>
    <tableColumn id="4" xr3:uid="{6FD0BFDB-24F6-416D-A2E2-97BD9CB362BF}" name="Fonte" dataDxfId="3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3243E7-5553-4BFE-8A00-3A37ED0695D5}" name="Blue_H2" displayName="Blue_H2" ref="A49:C51" totalsRowShown="0" headerRowDxfId="22">
  <autoFilter ref="A49:C51" xr:uid="{443243E7-5553-4BFE-8A00-3A37ED0695D5}"/>
  <tableColumns count="3">
    <tableColumn id="1" xr3:uid="{3F189BF6-A932-495E-BBFC-0F4E0B2E2A1D}" name="Idrogeno blu"/>
    <tableColumn id="2" xr3:uid="{D63BE157-E9E7-4EE2-A40D-A75AE5CCEF7E}" name="EF (kg/unità)"/>
    <tableColumn id="3" xr3:uid="{71E735A8-D53F-4BBF-803B-2AC6A52592B5}" name="Fonte" dataDxfId="2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A07F33-A43C-4464-914C-E2D7BD42319F}" name="Green_H2" displayName="Green_H2" ref="A53:C55" totalsRowShown="0" headerRowDxfId="20">
  <autoFilter ref="A53:C55" xr:uid="{7FA07F33-A43C-4464-914C-E2D7BD42319F}"/>
  <tableColumns count="3">
    <tableColumn id="1" xr3:uid="{15015F84-7BF0-4912-BFD4-E79DA15C31BD}" name="Idrogeno verde"/>
    <tableColumn id="2" xr3:uid="{DF8D5C82-FDBC-4969-88DD-1E2385184C3A}" name="EF (kg/unità)"/>
    <tableColumn id="3" xr3:uid="{F48FB1A1-50D9-4765-A038-2986DC5518C6}" name="Fonte" dataDxfId="1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98431D-F814-47D1-883F-142084832BF9}" name="Benzin" displayName="Benzin" ref="A60:C61" totalsRowShown="0" headerRowDxfId="18">
  <autoFilter ref="A60:C61" xr:uid="{7D98431D-F814-47D1-883F-142084832BF9}"/>
  <tableColumns count="3">
    <tableColumn id="1" xr3:uid="{2464B25F-10DA-48E1-A280-2AB62EB9B52A}" name="Benzina"/>
    <tableColumn id="2" xr3:uid="{FF5ED25E-25F0-4F09-B015-91B65D25E615}" name="EF (kg/unità)"/>
    <tableColumn id="3" xr3:uid="{E991826C-B783-4118-8777-8656CACCA449}" name="Fonte" dataDxfId="1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401F68-A7B9-4EEB-8C17-8D0ACF3D5A31}" name="Diesel" displayName="Diesel" ref="A63:C64" totalsRowShown="0" headerRowDxfId="16">
  <autoFilter ref="A63:C64" xr:uid="{84401F68-A7B9-4EEB-8C17-8D0ACF3D5A31}"/>
  <tableColumns count="3">
    <tableColumn id="1" xr3:uid="{485DD068-EAF3-49B6-9D06-97FED4425D0C}" name="Diesel"/>
    <tableColumn id="2" xr3:uid="{354738B5-F0A8-4B2A-AF7C-E4A304E9A4BC}" name="EF (kg/unità)"/>
    <tableColumn id="3" xr3:uid="{68BA3CCC-1F38-44BB-AB01-E256C343D49C}" name="Fonte" dataDxfId="1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1D8CD7C-143F-43D3-8660-983DA852ED4C}" name="Biodiesel" displayName="Biodiesel" ref="A66:C68" totalsRowShown="0">
  <autoFilter ref="A66:C68" xr:uid="{B1D8CD7C-143F-43D3-8660-983DA852ED4C}"/>
  <tableColumns count="3">
    <tableColumn id="1" xr3:uid="{F9D1EF0D-E30A-4C5D-B634-FF65B59F3DCC}" name="Biodiesel"/>
    <tableColumn id="2" xr3:uid="{12C41C1A-7D6D-44CD-B09C-3FC2EBB9E69C}" name="EF (kg/unità)"/>
    <tableColumn id="3" xr3:uid="{4284ABCA-A93B-4C11-9ECE-A2E9E5A9CE4E}" name="Font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0D0451-1AA3-44A4-A860-269D860E8930}" name="Bioethanol" displayName="Bioethanol" ref="A70:C72" totalsRowShown="0" headerRowDxfId="14">
  <autoFilter ref="A70:C72" xr:uid="{D00D0451-1AA3-44A4-A860-269D860E8930}"/>
  <tableColumns count="3">
    <tableColumn id="1" xr3:uid="{B593F7AA-B677-4C6A-B834-59AE3B79288B}" name="Bioetanolo"/>
    <tableColumn id="2" xr3:uid="{9D0A55E4-1AB6-478F-A66A-6844D27ACAD2}" name="EF (kg/unità)"/>
    <tableColumn id="3" xr3:uid="{BADB7063-8B8A-4A83-9047-75E787CCA378}" name="Font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DF1B1DE-0E84-464A-A829-0CE13A8DB5CF}" name="Biogas_mobil" displayName="Biogas_mobil" ref="A74:C76" totalsRowShown="0" headerRowDxfId="13">
  <autoFilter ref="A74:C76" xr:uid="{7DF1B1DE-0E84-464A-A829-0CE13A8DB5CF}"/>
  <tableColumns count="3">
    <tableColumn id="1" xr3:uid="{B4A9D157-7DF4-4677-A9FB-2F1776BB896D}" name="Biogas"/>
    <tableColumn id="2" xr3:uid="{3C96981A-7A45-4280-BD29-4F4D242F6D3B}" name="EF (kg/unità)"/>
    <tableColumn id="3" xr3:uid="{423F4482-1331-4D94-B0EE-8E5E94DD9438}" name="Fonte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B70506-7DCA-47CC-8B66-48CB1697735A}" name="Erdgas_CNG" displayName="Erdgas_CNG" ref="A78:C80" totalsRowShown="0" headerRowDxfId="12">
  <autoFilter ref="A78:C80" xr:uid="{F8B70506-7DCA-47CC-8B66-48CB1697735A}"/>
  <tableColumns count="3">
    <tableColumn id="1" xr3:uid="{7C5909CB-33C1-4F39-B777-6AC8F810239A}" name="Gas naturale (GNC)"/>
    <tableColumn id="2" xr3:uid="{E1BF1D28-0AFC-4A37-A387-233A19B84463}" name="EF (kg/unità)"/>
    <tableColumn id="3" xr3:uid="{8C0E3BFD-1453-4330-8E57-C08C1539E370}" name="Fonte" dataDxfId="1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D4823DF-DDFB-461A-974D-013E3584D83A}" name="Autogas_LPG" displayName="Autogas_LPG" ref="A82:C83" totalsRowShown="0" headerRowDxfId="10">
  <autoFilter ref="A82:C83" xr:uid="{1D4823DF-DDFB-461A-974D-013E3584D83A}"/>
  <tableColumns count="3">
    <tableColumn id="1" xr3:uid="{FF1976BC-16B5-4156-8A63-7A39BE153BAB}" name="GPL (GPL)"/>
    <tableColumn id="2" xr3:uid="{0591D719-3784-4FE8-A63E-2567F0BD6345}" name="EF (kg/unità)"/>
    <tableColumn id="3" xr3:uid="{0B0E83E0-51EC-4DA8-9ECE-B431A4BB2664}" name="Fonte" dataDxfId="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124DBCC-D874-4D6B-AB95-23416D18B7C3}" name="Strom_Fahrzeuge" displayName="Strom_Fahrzeuge" ref="A85:C86" totalsRowShown="0" headerRowDxfId="8">
  <autoFilter ref="A85:C86" xr:uid="{C124DBCC-D874-4D6B-AB95-23416D18B7C3}"/>
  <tableColumns count="3">
    <tableColumn id="1" xr3:uid="{6AF175E7-D651-4CDA-B827-79E3CF28BC8C}" name="Elettricità per i veicoli (stazioni di ricarica proprie)"/>
    <tableColumn id="2" xr3:uid="{CC16E20A-981F-4CBE-BC41-3ADE707AF0CA}" name="EF (kg/unità)"/>
    <tableColumn id="3" xr3:uid="{FBB2D2CD-AA43-4E6E-8782-6EE0A0689893}" name="Fonte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B7D889-12E2-42F9-88E6-A81DBDFF5B55}" name="Heizoel" displayName="Heizoel" ref="A17:C20" totalsRowShown="0" headerRowDxfId="38">
  <autoFilter ref="A17:C20" xr:uid="{A6B7D889-12E2-42F9-88E6-A81DBDFF5B55}"/>
  <tableColumns count="3">
    <tableColumn id="2" xr3:uid="{80AA3DED-117A-46E5-AFA5-D090A314C1CC}" name="Gasolio da riscaldamento"/>
    <tableColumn id="3" xr3:uid="{9031CF8F-2F6C-4C7A-A11E-7A963503FFD7}" name="EF (kg/unità)"/>
    <tableColumn id="4" xr3:uid="{5C0850C4-3868-401E-B7AE-DCCEF09B969D}" name="Fonte" dataDxfId="3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D4ABF67-C7C4-49F7-8377-798376FB8830}" name="Table22" displayName="Table22" ref="A95:C134" totalsRowShown="0" headerRowDxfId="6">
  <autoFilter ref="A95:C134" xr:uid="{CD4ABF67-C7C4-49F7-8377-798376FB8830}"/>
  <tableColumns count="3">
    <tableColumn id="1" xr3:uid="{D6AE62EB-CEA2-46F7-AB79-8744D416BB24}" name="Veicolo"/>
    <tableColumn id="2" xr3:uid="{699495EC-D6B5-4CBF-AC33-AAC11FEE2A74}" name="Fattore di emissione kg CO2/km (2021)"/>
    <tableColumn id="3" xr3:uid="{A45CE6D2-1865-4653-8084-32B7D65579E5}" name="Fonte" dataDxfId="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E7911A1-0C29-4755-9BE9-FBD1D8F28B2C}" name="Biooel" displayName="Biooel" ref="A26:C28" totalsRowShown="0" headerRowDxfId="4">
  <autoFilter ref="A26:C28" xr:uid="{3E7911A1-0C29-4755-9BE9-FBD1D8F28B2C}"/>
  <tableColumns count="3">
    <tableColumn id="1" xr3:uid="{AE2B1FE5-3FA2-4461-856D-3135715EBDAE}" name="Olio biologico"/>
    <tableColumn id="2" xr3:uid="{4BD656AC-AF65-49D4-A159-13D31857BCF2}" name="EF (kg/unità)"/>
    <tableColumn id="3" xr3:uid="{19F62299-454B-4C4A-A28B-8A1E686F77AB}" name="Fonte" dataDxfId="3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2CFB37B-D8D5-4AFF-B12F-20F63EB08D83}" name="Fernheizwerke" displayName="Fernheizwerke" ref="A1:C9" totalsRowShown="0" headerRowDxfId="2">
  <autoFilter ref="A1:C9" xr:uid="{F2CFB37B-D8D5-4AFF-B12F-20F63EB08D83}"/>
  <tableColumns count="3">
    <tableColumn id="1" xr3:uid="{03EBA237-64FE-461C-9BFD-A9C22A477728}" name="Comune - Impianto"/>
    <tableColumn id="2" xr3:uid="{9C760E96-39C8-45E5-9B12-E37A75674798}" name="Fattore di emissione in kg CO2/kWh"/>
    <tableColumn id="3" xr3:uid="{C332FD61-144C-4DF1-8B1E-FD2E270713D8}" name="Fonte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BF351EC-4301-4C76-B944-F998A1DBCB14}" name="Kaeltemittel_IT" displayName="Kaeltemittel_IT" ref="A1:C23" totalsRowShown="0" headerRowDxfId="1">
  <autoFilter ref="A1:C23" xr:uid="{4BF351EC-4301-4C76-B944-F998A1DBCB14}"/>
  <tableColumns count="3">
    <tableColumn id="1" xr3:uid="{9DDCCECF-8033-4ED8-92DF-88F16DF806C4}" name="REFRIGERANTE"/>
    <tableColumn id="2" xr3:uid="{10CC2502-713F-4872-8809-4F4DA53C59D0}" name="GWP"/>
    <tableColumn id="4" xr3:uid="{E69B7978-E7B6-4B5B-A926-B873D2A72CD1}" name="DESCRIZION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580D2D8-72FE-4189-A42C-095AAC224F6F}" name="Fluessiggas" displayName="Fluessiggas" ref="A7:C10" totalsRowShown="0" headerRowDxfId="36">
  <autoFilter ref="A7:C10" xr:uid="{3580D2D8-72FE-4189-A42C-095AAC224F6F}"/>
  <tableColumns count="3">
    <tableColumn id="2" xr3:uid="{A20602BE-353D-4C92-BCB8-2BC98ACAEEB2}" name="Gas liquefatto"/>
    <tableColumn id="3" xr3:uid="{5C56AC21-013A-4BE4-AD35-CD580312A4C3}" name="EF (kg/unità)"/>
    <tableColumn id="4" xr3:uid="{AA02825B-1E0C-4FC6-A82E-ACC2E1D5B51C}" name="Fonte" dataDxfId="3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560A057-F91C-4CAD-BAD9-A2ACA6042BCC}" name="Propan" displayName="Propan" ref="A12:C15" totalsRowShown="0" headerRowDxfId="34">
  <autoFilter ref="A12:C15" xr:uid="{5560A057-F91C-4CAD-BAD9-A2ACA6042BCC}"/>
  <tableColumns count="3">
    <tableColumn id="2" xr3:uid="{66EA7176-2442-41B1-A7C6-2F0AB2695635}" name="Propano"/>
    <tableColumn id="3" xr3:uid="{CC825915-CE10-434B-A565-DB41A25A28D1}" name="EF (kg/unità)"/>
    <tableColumn id="4" xr3:uid="{B4C2A77B-FC7A-4F93-8CE7-D495D024F7C0}" name="Fonte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6CED6C1-827B-4846-AC96-B642C4BEFCD4}" name="Biogas" displayName="Biogas" ref="A22:C24" totalsRowShown="0" headerRowDxfId="32">
  <autoFilter ref="A22:C24" xr:uid="{36CED6C1-827B-4846-AC96-B642C4BEFCD4}"/>
  <tableColumns count="3">
    <tableColumn id="2" xr3:uid="{44C35C05-8C4E-402A-B849-22D4DDF4786E}" name="Biogas"/>
    <tableColumn id="3" xr3:uid="{94BD45FF-34FF-49C0-9341-3585BCDFF5B2}" name="EF (kg/unità)"/>
    <tableColumn id="4" xr3:uid="{111DA626-BC1B-4589-B83D-51AD27B05FC7}" name="Fonte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DB4F0F1-9650-4968-949A-51168D63080A}" name="Brennholz" displayName="Brennholz" ref="A30:C34" totalsRowShown="0" headerRowDxfId="30">
  <autoFilter ref="A30:C34" xr:uid="{BDB4F0F1-9650-4968-949A-51168D63080A}"/>
  <tableColumns count="3">
    <tableColumn id="2" xr3:uid="{095899D3-6765-43B7-B1E3-23866006E201}" name="Legna da ardere"/>
    <tableColumn id="3" xr3:uid="{85B6F3DF-1938-4DF0-BCD0-296CEAD8CEB3}" name="EF (kg/unità)"/>
    <tableColumn id="4" xr3:uid="{B0F3B388-5798-4FF8-99C2-2F3CB5E26DA3}" name="Fonte" data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E4EE02C-222A-4765-961B-A1B318C068C1}" name="Holzpellets" displayName="Holzpellets" ref="A36:C38" totalsRowShown="0" headerRowDxfId="28">
  <autoFilter ref="A36:C38" xr:uid="{3E4EE02C-222A-4765-961B-A1B318C068C1}"/>
  <tableColumns count="3">
    <tableColumn id="2" xr3:uid="{8AED160B-D8E1-470D-8715-60F0ECD2AA7A}" name="Pellet di legno"/>
    <tableColumn id="3" xr3:uid="{9C9AE36F-6A9F-4B65-B1BC-278D741B8229}" name="EF (kg/unità)"/>
    <tableColumn id="4" xr3:uid="{4518DA87-79E0-4DD6-9C82-80A79C3CCD33}" name="Fonte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9089F2D-4375-401E-9098-2994BAAA6787}" name="Hackschnitzel" displayName="Hackschnitzel" ref="A40:C43" totalsRowShown="0" headerRowDxfId="26">
  <autoFilter ref="A40:C43" xr:uid="{39089F2D-4375-401E-9098-2994BAAA6787}"/>
  <tableColumns count="3">
    <tableColumn id="2" xr3:uid="{E390A394-FA35-4CB4-9F38-9C24236477B9}" name="Trucioli di legno"/>
    <tableColumn id="3" xr3:uid="{50DB12D1-9710-4A18-B5BE-C27817839C5B}" name="EF (kg/unità)"/>
    <tableColumn id="4" xr3:uid="{B12EF6C5-5814-476A-A6C9-7805993220FE}" name="Fonte" dataDxfId="2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DE12A8-A349-47DB-99E9-ABC73568B669}" name="Grey_H2" displayName="Grey_H2" ref="A45:C47" totalsRowShown="0" headerRowDxfId="24">
  <autoFilter ref="A45:C47" xr:uid="{D5DE12A8-A349-47DB-99E9-ABC73568B669}"/>
  <tableColumns count="3">
    <tableColumn id="1" xr3:uid="{3BA06E13-DFB6-49C9-BF36-51F57F4439E0}" name="Idrogeno grigio"/>
    <tableColumn id="2" xr3:uid="{F9495F6F-D378-4D0F-900C-1D006BB4F394}" name="EF (kg/unità)"/>
    <tableColumn id="3" xr3:uid="{31F0B9B1-6ABF-4777-9E6F-7BF0689DE394}" name="Fonte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enutzerdefiniert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67F9F2"/>
      </a:accent1>
      <a:accent2>
        <a:srgbClr val="D4E438"/>
      </a:accent2>
      <a:accent3>
        <a:srgbClr val="8ED873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hyperlink" Target="https://biogas.fnr.de/daten-und-fakten/faustzahlen" TargetMode="Externa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5272-7423-44AD-9B20-6FC61E399C43}">
  <dimension ref="A1:N18"/>
  <sheetViews>
    <sheetView showGridLines="0" tabSelected="1" workbookViewId="0">
      <selection activeCell="O8" sqref="O8"/>
    </sheetView>
  </sheetViews>
  <sheetFormatPr defaultColWidth="9.140625" defaultRowHeight="15"/>
  <sheetData>
    <row r="1" spans="1:14" ht="44.25" customHeight="1"/>
    <row r="2" spans="1:14" ht="21">
      <c r="A2" s="41"/>
    </row>
    <row r="3" spans="1:14" ht="21">
      <c r="A3" s="41"/>
    </row>
    <row r="4" spans="1:14" ht="21">
      <c r="A4" s="41"/>
    </row>
    <row r="5" spans="1:14" ht="21">
      <c r="A5" s="41"/>
    </row>
    <row r="6" spans="1:14" ht="21">
      <c r="A6" s="231" t="s">
        <v>0</v>
      </c>
      <c r="M6" s="79" t="s">
        <v>1</v>
      </c>
    </row>
    <row r="7" spans="1:14" ht="21">
      <c r="A7" s="215" t="s">
        <v>2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1:14" ht="69.599999999999994" customHeight="1">
      <c r="A8" s="249" t="s">
        <v>3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1"/>
    </row>
    <row r="9" spans="1:14" ht="53.1" customHeight="1">
      <c r="A9" s="252" t="s">
        <v>4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4"/>
    </row>
    <row r="12" spans="1:14" ht="21">
      <c r="A12" s="217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 ht="68.099999999999994" customHeight="1">
      <c r="A13" s="249" t="s">
        <v>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1"/>
    </row>
    <row r="14" spans="1:14" ht="71.099999999999994" customHeight="1">
      <c r="A14" s="252" t="s">
        <v>7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4"/>
    </row>
    <row r="17" spans="1:14" ht="21">
      <c r="A17" s="216" t="s">
        <v>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</row>
    <row r="18" spans="1:14" ht="84" customHeight="1">
      <c r="A18" s="246" t="s">
        <v>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8"/>
    </row>
  </sheetData>
  <sheetProtection algorithmName="SHA-512" hashValue="dbCyokIXeOjii1ELzVa4swkwlEJE6lUFGPbH85UJhv1IwaLbXA0U7Xl3xhSU0S/S5Dq70esL5EU4SMeCOyoMBA==" saltValue="rXy9M4btcYlxXfIxXqF5iA==" spinCount="100000" sheet="1" objects="1" scenarios="1"/>
  <mergeCells count="5">
    <mergeCell ref="A18:N18"/>
    <mergeCell ref="A8:N8"/>
    <mergeCell ref="A9:N9"/>
    <mergeCell ref="A13:N13"/>
    <mergeCell ref="A14:N14"/>
  </mergeCells>
  <phoneticPr fontId="2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3E7C-E86E-4DBC-ADAC-DDC41B15B254}">
  <dimension ref="A1:G138"/>
  <sheetViews>
    <sheetView workbookViewId="0">
      <selection activeCell="C152" sqref="C152"/>
    </sheetView>
  </sheetViews>
  <sheetFormatPr defaultColWidth="9.140625" defaultRowHeight="15" outlineLevelRow="1"/>
  <cols>
    <col min="1" max="1" width="39.85546875" customWidth="1"/>
    <col min="2" max="2" width="16.140625" customWidth="1"/>
    <col min="3" max="3" width="71.42578125" style="9" customWidth="1"/>
    <col min="4" max="4" width="27" hidden="1" customWidth="1"/>
    <col min="5" max="5" width="10.140625" hidden="1" customWidth="1"/>
    <col min="6" max="6" width="32.5703125" style="9" hidden="1" customWidth="1"/>
    <col min="7" max="7" width="55" customWidth="1"/>
  </cols>
  <sheetData>
    <row r="1" spans="1:6">
      <c r="A1" s="25" t="s">
        <v>188</v>
      </c>
      <c r="B1" s="25"/>
      <c r="C1" s="26"/>
    </row>
    <row r="2" spans="1:6">
      <c r="A2" s="21" t="s">
        <v>135</v>
      </c>
      <c r="B2" s="21"/>
      <c r="C2" s="15"/>
      <c r="D2" s="17" t="s">
        <v>189</v>
      </c>
      <c r="E2" s="17" t="s">
        <v>32</v>
      </c>
      <c r="F2" s="10" t="s">
        <v>190</v>
      </c>
    </row>
    <row r="3" spans="1:6" outlineLevel="1">
      <c r="A3" s="234" t="s">
        <v>34</v>
      </c>
      <c r="B3" s="234" t="s">
        <v>191</v>
      </c>
      <c r="C3" s="235" t="s">
        <v>192</v>
      </c>
    </row>
    <row r="4" spans="1:6" ht="30" outlineLevel="1">
      <c r="A4" t="s">
        <v>35</v>
      </c>
      <c r="B4">
        <v>0.20100000000000001</v>
      </c>
      <c r="C4" s="9" t="s">
        <v>193</v>
      </c>
    </row>
    <row r="5" spans="1:6" outlineLevel="1">
      <c r="A5" t="s">
        <v>40</v>
      </c>
      <c r="B5">
        <v>2.02</v>
      </c>
      <c r="C5" s="9" t="s">
        <v>95</v>
      </c>
    </row>
    <row r="6" spans="1:6" outlineLevel="1"/>
    <row r="7" spans="1:6" outlineLevel="1">
      <c r="A7" s="234" t="s">
        <v>37</v>
      </c>
      <c r="B7" s="234" t="s">
        <v>191</v>
      </c>
      <c r="C7" s="235" t="s">
        <v>192</v>
      </c>
    </row>
    <row r="8" spans="1:6" ht="30" outlineLevel="1">
      <c r="A8" t="s">
        <v>35</v>
      </c>
      <c r="B8">
        <v>0.23899999999999999</v>
      </c>
      <c r="C8" s="9" t="s">
        <v>194</v>
      </c>
    </row>
    <row r="9" spans="1:6" ht="30" outlineLevel="1">
      <c r="A9" t="s">
        <v>195</v>
      </c>
      <c r="B9">
        <v>2.17</v>
      </c>
      <c r="C9" s="9" t="s">
        <v>196</v>
      </c>
    </row>
    <row r="10" spans="1:6" outlineLevel="1">
      <c r="A10" t="s">
        <v>38</v>
      </c>
      <c r="B10">
        <v>2.98</v>
      </c>
      <c r="C10" s="9" t="s">
        <v>78</v>
      </c>
    </row>
    <row r="11" spans="1:6" outlineLevel="1"/>
    <row r="12" spans="1:6" outlineLevel="1">
      <c r="A12" s="234" t="s">
        <v>39</v>
      </c>
      <c r="B12" s="234" t="s">
        <v>191</v>
      </c>
      <c r="C12" s="235" t="s">
        <v>192</v>
      </c>
    </row>
    <row r="13" spans="1:6" outlineLevel="1">
      <c r="A13" t="s">
        <v>35</v>
      </c>
      <c r="B13">
        <v>0.23</v>
      </c>
      <c r="C13" s="9" t="s">
        <v>197</v>
      </c>
    </row>
    <row r="14" spans="1:6" outlineLevel="1">
      <c r="A14" t="s">
        <v>40</v>
      </c>
      <c r="B14">
        <v>1.51</v>
      </c>
      <c r="C14" s="9" t="s">
        <v>198</v>
      </c>
    </row>
    <row r="15" spans="1:6" outlineLevel="1">
      <c r="A15" t="s">
        <v>38</v>
      </c>
      <c r="B15">
        <v>2.62</v>
      </c>
      <c r="C15" s="9" t="s">
        <v>199</v>
      </c>
    </row>
    <row r="16" spans="1:6" outlineLevel="1"/>
    <row r="17" spans="1:6" outlineLevel="1">
      <c r="A17" s="234" t="s">
        <v>41</v>
      </c>
      <c r="B17" s="234" t="s">
        <v>191</v>
      </c>
      <c r="C17" s="235" t="s">
        <v>192</v>
      </c>
    </row>
    <row r="18" spans="1:6" outlineLevel="1">
      <c r="A18" t="s">
        <v>35</v>
      </c>
      <c r="B18">
        <v>0.26700000000000002</v>
      </c>
      <c r="C18" s="9" t="s">
        <v>200</v>
      </c>
    </row>
    <row r="19" spans="1:6" ht="30" outlineLevel="1">
      <c r="A19" t="s">
        <v>195</v>
      </c>
      <c r="B19">
        <v>3.39</v>
      </c>
      <c r="C19" s="9" t="s">
        <v>196</v>
      </c>
    </row>
    <row r="20" spans="1:6" outlineLevel="1">
      <c r="A20" t="s">
        <v>38</v>
      </c>
      <c r="B20">
        <v>3.1440000000000001</v>
      </c>
      <c r="C20" s="9" t="s">
        <v>95</v>
      </c>
    </row>
    <row r="21" spans="1:6" outlineLevel="1"/>
    <row r="22" spans="1:6" outlineLevel="1">
      <c r="A22" s="234" t="s">
        <v>201</v>
      </c>
      <c r="B22" s="234" t="s">
        <v>191</v>
      </c>
      <c r="C22" s="235" t="s">
        <v>192</v>
      </c>
    </row>
    <row r="23" spans="1:6" outlineLevel="1">
      <c r="A23" t="s">
        <v>35</v>
      </c>
      <c r="B23">
        <v>0.152</v>
      </c>
      <c r="C23" s="9" t="s">
        <v>202</v>
      </c>
    </row>
    <row r="24" spans="1:6" outlineLevel="1">
      <c r="A24" t="s">
        <v>40</v>
      </c>
      <c r="B24">
        <f>B23*6.25</f>
        <v>0.95</v>
      </c>
      <c r="C24" s="38" t="s">
        <v>203</v>
      </c>
    </row>
    <row r="25" spans="1:6" outlineLevel="1"/>
    <row r="26" spans="1:6" outlineLevel="1">
      <c r="A26" s="234" t="s">
        <v>43</v>
      </c>
      <c r="B26" s="234" t="s">
        <v>191</v>
      </c>
      <c r="C26" s="235" t="s">
        <v>192</v>
      </c>
    </row>
    <row r="27" spans="1:6" outlineLevel="1">
      <c r="A27" t="s">
        <v>35</v>
      </c>
      <c r="B27">
        <v>0.11700000000000001</v>
      </c>
      <c r="C27" s="9" t="s">
        <v>204</v>
      </c>
    </row>
    <row r="28" spans="1:6" outlineLevel="1">
      <c r="A28" t="s">
        <v>195</v>
      </c>
      <c r="B28" s="22">
        <v>1.0752299999999999</v>
      </c>
      <c r="C28" s="9" t="s">
        <v>205</v>
      </c>
    </row>
    <row r="29" spans="1:6" outlineLevel="1"/>
    <row r="30" spans="1:6" outlineLevel="1">
      <c r="A30" s="234" t="s">
        <v>44</v>
      </c>
      <c r="B30" s="234" t="s">
        <v>191</v>
      </c>
      <c r="C30" s="235" t="s">
        <v>192</v>
      </c>
    </row>
    <row r="31" spans="1:6" outlineLevel="1">
      <c r="A31" t="s">
        <v>35</v>
      </c>
      <c r="B31">
        <v>2.7E-2</v>
      </c>
      <c r="C31" s="9" t="s">
        <v>202</v>
      </c>
    </row>
    <row r="32" spans="1:6" ht="30" outlineLevel="1">
      <c r="A32" t="s">
        <v>206</v>
      </c>
      <c r="B32">
        <v>41.209000000000003</v>
      </c>
      <c r="C32" s="9" t="s">
        <v>207</v>
      </c>
      <c r="D32">
        <f>0.11*375</f>
        <v>41.25</v>
      </c>
      <c r="E32" t="s">
        <v>208</v>
      </c>
      <c r="F32" s="9" t="s">
        <v>209</v>
      </c>
    </row>
    <row r="33" spans="1:6" ht="30" outlineLevel="1">
      <c r="A33" t="s">
        <v>47</v>
      </c>
      <c r="B33" s="22">
        <v>28.846299999999999</v>
      </c>
      <c r="C33" s="9" t="s">
        <v>210</v>
      </c>
    </row>
    <row r="34" spans="1:6" ht="30" outlineLevel="1">
      <c r="A34" t="s">
        <v>38</v>
      </c>
      <c r="B34" s="22">
        <v>0.11</v>
      </c>
      <c r="C34" s="9" t="s">
        <v>211</v>
      </c>
    </row>
    <row r="35" spans="1:6" outlineLevel="1"/>
    <row r="36" spans="1:6" outlineLevel="1">
      <c r="A36" s="234" t="s">
        <v>45</v>
      </c>
      <c r="B36" s="234" t="s">
        <v>191</v>
      </c>
      <c r="C36" s="235" t="s">
        <v>192</v>
      </c>
    </row>
    <row r="37" spans="1:6" outlineLevel="1">
      <c r="A37" t="s">
        <v>35</v>
      </c>
      <c r="B37">
        <v>3.5999999999999997E-2</v>
      </c>
      <c r="C37" s="9" t="s">
        <v>202</v>
      </c>
    </row>
    <row r="38" spans="1:6" ht="30" outlineLevel="1">
      <c r="A38" t="s">
        <v>38</v>
      </c>
      <c r="B38">
        <v>0.18</v>
      </c>
      <c r="C38" s="9" t="s">
        <v>212</v>
      </c>
      <c r="D38">
        <f>B37*5</f>
        <v>0.18</v>
      </c>
      <c r="E38" t="s">
        <v>208</v>
      </c>
      <c r="F38" s="9" t="s">
        <v>213</v>
      </c>
    </row>
    <row r="39" spans="1:6" outlineLevel="1"/>
    <row r="40" spans="1:6" outlineLevel="1">
      <c r="A40" s="234" t="s">
        <v>46</v>
      </c>
      <c r="B40" s="234" t="s">
        <v>191</v>
      </c>
      <c r="C40" s="235" t="s">
        <v>192</v>
      </c>
    </row>
    <row r="41" spans="1:6" ht="45" outlineLevel="1">
      <c r="A41" t="s">
        <v>35</v>
      </c>
      <c r="B41">
        <v>1.0999999999999999E-2</v>
      </c>
      <c r="C41" s="9" t="s">
        <v>214</v>
      </c>
    </row>
    <row r="42" spans="1:6" ht="30" outlineLevel="1">
      <c r="A42" t="s">
        <v>47</v>
      </c>
      <c r="B42">
        <v>9.7439999999999998</v>
      </c>
      <c r="C42" s="9" t="s">
        <v>207</v>
      </c>
      <c r="D42">
        <f>0.048*203</f>
        <v>9.7439999999999998</v>
      </c>
      <c r="E42" t="s">
        <v>208</v>
      </c>
      <c r="F42" s="9" t="s">
        <v>215</v>
      </c>
    </row>
    <row r="43" spans="1:6" ht="30" outlineLevel="1">
      <c r="A43" t="s">
        <v>38</v>
      </c>
      <c r="B43">
        <v>4.8000000000000001E-2</v>
      </c>
      <c r="C43" s="9" t="s">
        <v>207</v>
      </c>
      <c r="D43">
        <f>0.011*4.33</f>
        <v>4.7629999999999999E-2</v>
      </c>
      <c r="E43" t="s">
        <v>208</v>
      </c>
      <c r="F43" s="9" t="s">
        <v>216</v>
      </c>
    </row>
    <row r="44" spans="1:6" outlineLevel="1"/>
    <row r="45" spans="1:6" outlineLevel="1">
      <c r="A45" s="234" t="s">
        <v>217</v>
      </c>
      <c r="B45" s="234" t="s">
        <v>191</v>
      </c>
      <c r="C45" s="235" t="s">
        <v>192</v>
      </c>
    </row>
    <row r="46" spans="1:6" ht="60" outlineLevel="1">
      <c r="A46" t="s">
        <v>35</v>
      </c>
      <c r="B46">
        <v>0.39800000000000002</v>
      </c>
      <c r="C46" s="9" t="s">
        <v>80</v>
      </c>
    </row>
    <row r="47" spans="1:6" ht="60" outlineLevel="1">
      <c r="A47" t="s">
        <v>38</v>
      </c>
      <c r="B47">
        <v>13.24</v>
      </c>
      <c r="C47" s="9" t="s">
        <v>80</v>
      </c>
    </row>
    <row r="48" spans="1:6" outlineLevel="1"/>
    <row r="49" spans="1:3" outlineLevel="1">
      <c r="A49" s="234" t="s">
        <v>218</v>
      </c>
      <c r="B49" s="234" t="s">
        <v>191</v>
      </c>
      <c r="C49" s="235" t="s">
        <v>192</v>
      </c>
    </row>
    <row r="50" spans="1:3" ht="60" outlineLevel="1">
      <c r="A50" t="s">
        <v>35</v>
      </c>
      <c r="B50">
        <v>0.16800000000000001</v>
      </c>
      <c r="C50" s="9" t="s">
        <v>80</v>
      </c>
    </row>
    <row r="51" spans="1:3" ht="60" outlineLevel="1">
      <c r="A51" t="s">
        <v>38</v>
      </c>
      <c r="B51">
        <v>5.61</v>
      </c>
      <c r="C51" s="9" t="s">
        <v>80</v>
      </c>
    </row>
    <row r="52" spans="1:3" outlineLevel="1"/>
    <row r="53" spans="1:3" outlineLevel="1">
      <c r="A53" s="234" t="s">
        <v>219</v>
      </c>
      <c r="B53" s="234" t="s">
        <v>191</v>
      </c>
      <c r="C53" s="235" t="s">
        <v>192</v>
      </c>
    </row>
    <row r="54" spans="1:3" ht="60" outlineLevel="1">
      <c r="A54" t="s">
        <v>35</v>
      </c>
      <c r="B54">
        <v>2.5999999999999999E-2</v>
      </c>
      <c r="C54" s="9" t="s">
        <v>80</v>
      </c>
    </row>
    <row r="55" spans="1:3" ht="60" outlineLevel="1">
      <c r="A55" t="s">
        <v>38</v>
      </c>
      <c r="B55">
        <v>0.88</v>
      </c>
      <c r="C55" s="9" t="s">
        <v>80</v>
      </c>
    </row>
    <row r="57" spans="1:3">
      <c r="A57" s="23" t="s">
        <v>52</v>
      </c>
      <c r="B57" s="42" t="s">
        <v>220</v>
      </c>
      <c r="C57" s="24"/>
    </row>
    <row r="59" spans="1:3">
      <c r="A59" s="236" t="s">
        <v>60</v>
      </c>
      <c r="B59" s="236"/>
      <c r="C59" s="236"/>
    </row>
    <row r="60" spans="1:3" outlineLevel="1">
      <c r="A60" s="234" t="s">
        <v>64</v>
      </c>
      <c r="B60" s="234" t="s">
        <v>191</v>
      </c>
      <c r="C60" s="235" t="s">
        <v>192</v>
      </c>
    </row>
    <row r="61" spans="1:3" outlineLevel="1">
      <c r="A61" t="s">
        <v>195</v>
      </c>
      <c r="B61">
        <v>2.879</v>
      </c>
      <c r="C61" s="9" t="s">
        <v>69</v>
      </c>
    </row>
    <row r="62" spans="1:3" outlineLevel="1"/>
    <row r="63" spans="1:3" outlineLevel="1">
      <c r="A63" s="234" t="s">
        <v>70</v>
      </c>
      <c r="B63" s="234" t="s">
        <v>191</v>
      </c>
      <c r="C63" s="235" t="s">
        <v>192</v>
      </c>
    </row>
    <row r="64" spans="1:3" outlineLevel="1">
      <c r="A64" t="s">
        <v>195</v>
      </c>
      <c r="B64">
        <v>3.1</v>
      </c>
      <c r="C64" s="9" t="s">
        <v>69</v>
      </c>
    </row>
    <row r="65" spans="1:7" outlineLevel="1"/>
    <row r="66" spans="1:7" outlineLevel="1">
      <c r="A66" s="234" t="s">
        <v>71</v>
      </c>
      <c r="B66" s="234" t="s">
        <v>191</v>
      </c>
      <c r="C66" s="235" t="s">
        <v>192</v>
      </c>
    </row>
    <row r="67" spans="1:7" ht="30" outlineLevel="1">
      <c r="A67" t="s">
        <v>195</v>
      </c>
      <c r="B67">
        <v>0.81200000000000006</v>
      </c>
      <c r="C67" s="9" t="s">
        <v>72</v>
      </c>
      <c r="D67" s="22"/>
      <c r="G67" s="39"/>
    </row>
    <row r="68" spans="1:7" outlineLevel="1">
      <c r="A68" t="s">
        <v>35</v>
      </c>
      <c r="B68">
        <v>7.0000000000000007E-2</v>
      </c>
      <c r="C68" t="s">
        <v>202</v>
      </c>
      <c r="D68" s="22"/>
    </row>
    <row r="69" spans="1:7" outlineLevel="1">
      <c r="D69" s="22"/>
    </row>
    <row r="70" spans="1:7" outlineLevel="1">
      <c r="A70" s="234" t="s">
        <v>73</v>
      </c>
      <c r="B70" s="234" t="s">
        <v>191</v>
      </c>
      <c r="C70" s="235" t="s">
        <v>192</v>
      </c>
      <c r="D70" s="22"/>
    </row>
    <row r="71" spans="1:7" ht="30" outlineLevel="1">
      <c r="A71" t="s">
        <v>195</v>
      </c>
      <c r="B71">
        <v>0.439</v>
      </c>
      <c r="C71" s="9" t="s">
        <v>72</v>
      </c>
      <c r="D71" s="22"/>
    </row>
    <row r="72" spans="1:7" outlineLevel="1">
      <c r="A72" t="s">
        <v>35</v>
      </c>
      <c r="B72">
        <v>4.2999999999999997E-2</v>
      </c>
      <c r="C72" t="s">
        <v>202</v>
      </c>
    </row>
    <row r="73" spans="1:7" outlineLevel="1"/>
    <row r="74" spans="1:7" outlineLevel="1">
      <c r="A74" s="234" t="s">
        <v>201</v>
      </c>
      <c r="B74" s="234" t="s">
        <v>191</v>
      </c>
      <c r="C74" s="235" t="s">
        <v>192</v>
      </c>
    </row>
    <row r="75" spans="1:7" outlineLevel="1">
      <c r="A75" t="s">
        <v>38</v>
      </c>
      <c r="B75">
        <v>1.544</v>
      </c>
      <c r="C75" t="s">
        <v>76</v>
      </c>
    </row>
    <row r="76" spans="1:7" outlineLevel="1">
      <c r="A76" t="s">
        <v>35</v>
      </c>
      <c r="B76">
        <v>0.152</v>
      </c>
      <c r="C76" t="s">
        <v>202</v>
      </c>
    </row>
    <row r="77" spans="1:7" outlineLevel="1"/>
    <row r="78" spans="1:7" outlineLevel="1">
      <c r="A78" s="234" t="s">
        <v>77</v>
      </c>
      <c r="B78" s="234" t="s">
        <v>191</v>
      </c>
      <c r="C78" s="235" t="s">
        <v>192</v>
      </c>
    </row>
    <row r="79" spans="1:7" outlineLevel="1">
      <c r="A79" t="s">
        <v>38</v>
      </c>
      <c r="B79">
        <v>2.98</v>
      </c>
      <c r="C79" s="9" t="s">
        <v>78</v>
      </c>
    </row>
    <row r="80" spans="1:7" ht="30" outlineLevel="1">
      <c r="A80" t="s">
        <v>35</v>
      </c>
      <c r="B80">
        <v>0.20100000000000001</v>
      </c>
      <c r="C80" s="9" t="s">
        <v>193</v>
      </c>
    </row>
    <row r="81" spans="1:3" outlineLevel="1"/>
    <row r="82" spans="1:3" outlineLevel="1">
      <c r="A82" s="234" t="s">
        <v>79</v>
      </c>
      <c r="B82" s="234" t="s">
        <v>191</v>
      </c>
      <c r="C82" s="235" t="s">
        <v>192</v>
      </c>
    </row>
    <row r="83" spans="1:3" outlineLevel="1">
      <c r="A83" t="s">
        <v>195</v>
      </c>
      <c r="B83">
        <v>2.036</v>
      </c>
      <c r="C83" s="9" t="s">
        <v>69</v>
      </c>
    </row>
    <row r="84" spans="1:3" outlineLevel="1"/>
    <row r="85" spans="1:3" outlineLevel="1">
      <c r="A85" s="234" t="s">
        <v>221</v>
      </c>
      <c r="B85" s="234" t="s">
        <v>191</v>
      </c>
      <c r="C85" s="235" t="s">
        <v>192</v>
      </c>
    </row>
    <row r="86" spans="1:3" outlineLevel="1">
      <c r="A86" t="s">
        <v>35</v>
      </c>
      <c r="B86">
        <v>0.28920000000000001</v>
      </c>
      <c r="C86" s="9" t="s">
        <v>222</v>
      </c>
    </row>
    <row r="87" spans="1:3" outlineLevel="1"/>
    <row r="88" spans="1:3" outlineLevel="1">
      <c r="A88" s="237" t="s">
        <v>217</v>
      </c>
      <c r="B88" s="238" t="s">
        <v>191</v>
      </c>
      <c r="C88" s="239" t="s">
        <v>192</v>
      </c>
    </row>
    <row r="89" spans="1:3" ht="60" outlineLevel="1">
      <c r="A89" s="63" t="s">
        <v>38</v>
      </c>
      <c r="B89" s="64">
        <v>13.24</v>
      </c>
      <c r="C89" s="84" t="s">
        <v>80</v>
      </c>
    </row>
    <row r="90" spans="1:3" outlineLevel="1"/>
    <row r="91" spans="1:3" outlineLevel="1">
      <c r="A91" s="237" t="s">
        <v>219</v>
      </c>
      <c r="B91" s="238" t="s">
        <v>191</v>
      </c>
      <c r="C91" s="239" t="s">
        <v>192</v>
      </c>
    </row>
    <row r="92" spans="1:3" ht="60" outlineLevel="1">
      <c r="A92" s="63" t="s">
        <v>38</v>
      </c>
      <c r="B92" s="64">
        <v>0.88</v>
      </c>
      <c r="C92" s="84" t="s">
        <v>80</v>
      </c>
    </row>
    <row r="94" spans="1:3">
      <c r="A94" s="240" t="s">
        <v>223</v>
      </c>
      <c r="B94" s="240"/>
      <c r="C94" s="240"/>
    </row>
    <row r="95" spans="1:3" ht="45" outlineLevel="1">
      <c r="A95" s="241" t="s">
        <v>224</v>
      </c>
      <c r="B95" s="242" t="s">
        <v>225</v>
      </c>
      <c r="C95" s="242" t="s">
        <v>192</v>
      </c>
    </row>
    <row r="96" spans="1:3" outlineLevel="1">
      <c r="A96" t="s">
        <v>92</v>
      </c>
      <c r="B96">
        <v>0.16128519402446861</v>
      </c>
      <c r="C96" s="9" t="s">
        <v>95</v>
      </c>
    </row>
    <row r="97" spans="1:3" outlineLevel="1">
      <c r="A97" s="18" t="s">
        <v>96</v>
      </c>
      <c r="B97">
        <v>0.14853506635344171</v>
      </c>
      <c r="C97" s="9" t="s">
        <v>95</v>
      </c>
    </row>
    <row r="98" spans="1:3" outlineLevel="1">
      <c r="A98" s="18" t="s">
        <v>97</v>
      </c>
      <c r="B98">
        <v>0.19518650751368674</v>
      </c>
      <c r="C98" s="9" t="s">
        <v>95</v>
      </c>
    </row>
    <row r="99" spans="1:3" outlineLevel="1">
      <c r="A99" s="18" t="s">
        <v>98</v>
      </c>
      <c r="B99">
        <v>0.34316126921456724</v>
      </c>
      <c r="C99" s="9" t="s">
        <v>95</v>
      </c>
    </row>
    <row r="100" spans="1:3" outlineLevel="1">
      <c r="A100" t="s">
        <v>99</v>
      </c>
      <c r="B100">
        <v>0.1366597289446945</v>
      </c>
      <c r="C100" s="9" t="s">
        <v>95</v>
      </c>
    </row>
    <row r="101" spans="1:3" outlineLevel="1">
      <c r="A101" s="18" t="s">
        <v>96</v>
      </c>
      <c r="B101">
        <v>0.13357750023099899</v>
      </c>
      <c r="C101" s="9" t="s">
        <v>95</v>
      </c>
    </row>
    <row r="102" spans="1:3" outlineLevel="1">
      <c r="A102" s="18" t="s">
        <v>97</v>
      </c>
      <c r="B102">
        <v>0.13781725010789272</v>
      </c>
      <c r="C102" s="9" t="s">
        <v>95</v>
      </c>
    </row>
    <row r="103" spans="1:3" outlineLevel="1">
      <c r="A103" s="18" t="s">
        <v>98</v>
      </c>
      <c r="B103">
        <v>0.14553402784335914</v>
      </c>
      <c r="C103" s="9" t="s">
        <v>95</v>
      </c>
    </row>
    <row r="104" spans="1:3" outlineLevel="1">
      <c r="A104" t="s">
        <v>100</v>
      </c>
      <c r="B104">
        <v>0.12781642001717203</v>
      </c>
      <c r="C104" s="9" t="s">
        <v>95</v>
      </c>
    </row>
    <row r="105" spans="1:3" outlineLevel="1">
      <c r="A105" s="18" t="s">
        <v>96</v>
      </c>
      <c r="B105">
        <v>0.11836078708748123</v>
      </c>
      <c r="C105" s="9" t="s">
        <v>95</v>
      </c>
    </row>
    <row r="106" spans="1:3" outlineLevel="1">
      <c r="A106" s="18" t="s">
        <v>97</v>
      </c>
      <c r="B106">
        <v>0.13209617562163056</v>
      </c>
      <c r="C106" s="9" t="s">
        <v>95</v>
      </c>
    </row>
    <row r="107" spans="1:3" outlineLevel="1">
      <c r="A107" s="18" t="s">
        <v>98</v>
      </c>
      <c r="B107">
        <v>0.15835255149821104</v>
      </c>
      <c r="C107" s="9" t="s">
        <v>95</v>
      </c>
    </row>
    <row r="108" spans="1:3" outlineLevel="1">
      <c r="A108" t="s">
        <v>101</v>
      </c>
      <c r="B108">
        <v>0.16685333139111685</v>
      </c>
      <c r="C108" s="9" t="s">
        <v>95</v>
      </c>
    </row>
    <row r="109" spans="1:3" outlineLevel="1">
      <c r="A109" s="18" t="s">
        <v>96</v>
      </c>
      <c r="B109">
        <v>0.17793597287537069</v>
      </c>
      <c r="C109" s="9" t="s">
        <v>95</v>
      </c>
    </row>
    <row r="110" spans="1:3" outlineLevel="1">
      <c r="A110" s="18" t="s">
        <v>97</v>
      </c>
      <c r="B110">
        <v>0.15517044329757887</v>
      </c>
      <c r="C110" s="9" t="s">
        <v>95</v>
      </c>
    </row>
    <row r="111" spans="1:3" outlineLevel="1">
      <c r="A111" s="18" t="s">
        <v>98</v>
      </c>
      <c r="B111">
        <v>0.23002294366682896</v>
      </c>
      <c r="C111" s="9" t="s">
        <v>95</v>
      </c>
    </row>
    <row r="112" spans="1:3" outlineLevel="1">
      <c r="A112" t="s">
        <v>102</v>
      </c>
      <c r="B112">
        <v>0.14082152354012839</v>
      </c>
      <c r="C112" s="9" t="s">
        <v>95</v>
      </c>
    </row>
    <row r="113" spans="1:3" outlineLevel="1">
      <c r="A113" s="18" t="s">
        <v>98</v>
      </c>
      <c r="B113">
        <v>0.13761327500000001</v>
      </c>
      <c r="C113" s="9" t="s">
        <v>95</v>
      </c>
    </row>
    <row r="114" spans="1:3" outlineLevel="1">
      <c r="A114" t="s">
        <v>103</v>
      </c>
      <c r="B114">
        <v>0.15625288123887746</v>
      </c>
      <c r="C114" s="9" t="s">
        <v>95</v>
      </c>
    </row>
    <row r="115" spans="1:3" outlineLevel="1">
      <c r="A115" s="18" t="s">
        <v>96</v>
      </c>
      <c r="B115">
        <v>0.17044207778252124</v>
      </c>
      <c r="C115" s="9" t="s">
        <v>95</v>
      </c>
    </row>
    <row r="116" spans="1:3" outlineLevel="1">
      <c r="A116" s="18" t="s">
        <v>97</v>
      </c>
      <c r="B116">
        <v>0.17044207778252127</v>
      </c>
      <c r="C116" s="9" t="s">
        <v>95</v>
      </c>
    </row>
    <row r="117" spans="1:3" outlineLevel="1">
      <c r="A117" s="18" t="s">
        <v>98</v>
      </c>
      <c r="B117">
        <v>0.18311802477578931</v>
      </c>
      <c r="C117" s="9" t="s">
        <v>95</v>
      </c>
    </row>
    <row r="118" spans="1:3" outlineLevel="1">
      <c r="A118" t="s">
        <v>104</v>
      </c>
      <c r="B118">
        <v>0.1263068794154755</v>
      </c>
      <c r="C118" s="9" t="s">
        <v>95</v>
      </c>
    </row>
    <row r="119" spans="1:3" outlineLevel="1">
      <c r="A119" s="18" t="s">
        <v>96</v>
      </c>
      <c r="B119">
        <v>0.12335205668476334</v>
      </c>
      <c r="C119" s="9" t="s">
        <v>95</v>
      </c>
    </row>
    <row r="120" spans="1:3" outlineLevel="1">
      <c r="A120" s="18" t="s">
        <v>97</v>
      </c>
      <c r="B120">
        <v>0.12335205668476333</v>
      </c>
      <c r="C120" s="9" t="s">
        <v>95</v>
      </c>
    </row>
    <row r="121" spans="1:3" outlineLevel="1">
      <c r="A121" s="18" t="s">
        <v>98</v>
      </c>
      <c r="B121">
        <v>0.12335205668476333</v>
      </c>
      <c r="C121" s="9" t="s">
        <v>95</v>
      </c>
    </row>
    <row r="122" spans="1:3" ht="30" outlineLevel="1">
      <c r="A122" t="s">
        <v>105</v>
      </c>
      <c r="B122">
        <v>6.0732000000000001E-2</v>
      </c>
      <c r="C122" s="9" t="s">
        <v>106</v>
      </c>
    </row>
    <row r="123" spans="1:3" ht="30" outlineLevel="1">
      <c r="A123" s="18" t="s">
        <v>96</v>
      </c>
      <c r="B123">
        <v>4.0488000000000003E-2</v>
      </c>
      <c r="C123" s="9" t="s">
        <v>107</v>
      </c>
    </row>
    <row r="124" spans="1:3" ht="30" outlineLevel="1">
      <c r="A124" s="18" t="s">
        <v>97</v>
      </c>
      <c r="B124">
        <v>5.4948000000000004E-2</v>
      </c>
      <c r="C124" s="9" t="s">
        <v>108</v>
      </c>
    </row>
    <row r="125" spans="1:3" ht="30" outlineLevel="1">
      <c r="A125" s="18" t="s">
        <v>98</v>
      </c>
      <c r="B125">
        <v>6.9407999999999997E-2</v>
      </c>
      <c r="C125" s="9" t="s">
        <v>109</v>
      </c>
    </row>
    <row r="126" spans="1:3" outlineLevel="1">
      <c r="A126" t="s">
        <v>110</v>
      </c>
      <c r="B126">
        <v>0.24689250379216049</v>
      </c>
      <c r="C126" s="9" t="s">
        <v>95</v>
      </c>
    </row>
    <row r="127" spans="1:3" outlineLevel="1">
      <c r="A127" t="s">
        <v>111</v>
      </c>
      <c r="B127">
        <v>0.2432207431090368</v>
      </c>
      <c r="C127" s="9" t="s">
        <v>95</v>
      </c>
    </row>
    <row r="128" spans="1:3" outlineLevel="1">
      <c r="A128" t="s">
        <v>112</v>
      </c>
      <c r="B128">
        <v>326.11790765373598</v>
      </c>
      <c r="C128" s="9" t="s">
        <v>95</v>
      </c>
    </row>
    <row r="129" spans="1:3" outlineLevel="1">
      <c r="A129" t="s">
        <v>113</v>
      </c>
      <c r="B129">
        <v>0.66840161917946761</v>
      </c>
      <c r="C129" s="9" t="s">
        <v>95</v>
      </c>
    </row>
    <row r="130" spans="1:3" outlineLevel="1">
      <c r="A130" t="s">
        <v>114</v>
      </c>
      <c r="B130">
        <v>0.70280722585073518</v>
      </c>
      <c r="C130" s="9" t="s">
        <v>95</v>
      </c>
    </row>
    <row r="131" spans="1:3" outlineLevel="1">
      <c r="A131" t="s">
        <v>115</v>
      </c>
      <c r="B131">
        <v>0.68108354164497065</v>
      </c>
      <c r="C131" s="9" t="s">
        <v>95</v>
      </c>
    </row>
    <row r="132" spans="1:3" outlineLevel="1">
      <c r="A132" t="s">
        <v>116</v>
      </c>
      <c r="B132">
        <v>1.0968327159905724</v>
      </c>
      <c r="C132" s="9" t="s">
        <v>95</v>
      </c>
    </row>
    <row r="133" spans="1:3" outlineLevel="1">
      <c r="A133" t="s">
        <v>117</v>
      </c>
      <c r="B133">
        <v>5.4879940781715111E-2</v>
      </c>
      <c r="C133" s="9" t="s">
        <v>95</v>
      </c>
    </row>
    <row r="134" spans="1:3" outlineLevel="1">
      <c r="A134" t="s">
        <v>118</v>
      </c>
      <c r="B134">
        <v>0.10707946329412216</v>
      </c>
      <c r="C134" s="9" t="s">
        <v>95</v>
      </c>
    </row>
    <row r="136" spans="1:3">
      <c r="A136" s="27" t="s">
        <v>226</v>
      </c>
      <c r="B136" s="28"/>
      <c r="C136" s="29"/>
    </row>
    <row r="137" spans="1:3">
      <c r="A137" s="9" t="s">
        <v>227</v>
      </c>
      <c r="B137">
        <v>0.28920000000000001</v>
      </c>
      <c r="C137" s="9" t="s">
        <v>222</v>
      </c>
    </row>
    <row r="138" spans="1:3">
      <c r="A138" s="9" t="s">
        <v>143</v>
      </c>
      <c r="C138" s="243" t="s">
        <v>228</v>
      </c>
    </row>
  </sheetData>
  <sheetProtection algorithmName="SHA-512" hashValue="a2iEuSAAnbYgzrKaGGMTz9HfRbMjLsKxKX0ddAXLz3iPuB15YrrIZOPtlS4i6TaLxl2wkS/p4IxY96GLUwaVww==" saltValue="UnTK5V2dO91fd3Wlq2d7gw==" spinCount="100000" sheet="1" objects="1" scenarios="1"/>
  <hyperlinks>
    <hyperlink ref="C24" r:id="rId1" xr:uid="{3E5BD19E-53D1-48C7-9BE8-E9944827A35D}"/>
  </hyperlinks>
  <pageMargins left="0.7" right="0.7" top="0.75" bottom="0.75" header="0.3" footer="0.3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0C15-F93D-4FAF-B1FD-59B0CBACCBA0}">
  <dimension ref="A1:C9"/>
  <sheetViews>
    <sheetView workbookViewId="0">
      <selection activeCell="I28" sqref="I28"/>
    </sheetView>
  </sheetViews>
  <sheetFormatPr defaultColWidth="9.140625" defaultRowHeight="15"/>
  <cols>
    <col min="1" max="1" width="35.28515625" customWidth="1"/>
    <col min="2" max="2" width="19.28515625" customWidth="1"/>
    <col min="3" max="3" width="26.85546875" customWidth="1"/>
  </cols>
  <sheetData>
    <row r="1" spans="1:3">
      <c r="A1" s="234" t="s">
        <v>229</v>
      </c>
      <c r="B1" s="234" t="s">
        <v>177</v>
      </c>
      <c r="C1" s="234" t="s">
        <v>192</v>
      </c>
    </row>
    <row r="2" spans="1:3">
      <c r="A2" t="s">
        <v>57</v>
      </c>
    </row>
    <row r="3" spans="1:3">
      <c r="A3" t="s">
        <v>230</v>
      </c>
    </row>
    <row r="4" spans="1:3">
      <c r="A4" t="s">
        <v>231</v>
      </c>
      <c r="B4">
        <v>9.6403000000000003E-2</v>
      </c>
      <c r="C4" t="s">
        <v>232</v>
      </c>
    </row>
    <row r="5" spans="1:3">
      <c r="A5" t="s">
        <v>233</v>
      </c>
      <c r="B5">
        <v>0.13900000000000001</v>
      </c>
      <c r="C5" t="s">
        <v>234</v>
      </c>
    </row>
    <row r="6" spans="1:3">
      <c r="A6" t="s">
        <v>235</v>
      </c>
      <c r="B6">
        <v>3.0349999999999999E-2</v>
      </c>
      <c r="C6" t="s">
        <v>234</v>
      </c>
    </row>
    <row r="7" spans="1:3" ht="30">
      <c r="A7" s="9" t="s">
        <v>236</v>
      </c>
      <c r="B7">
        <v>0.40643000000000001</v>
      </c>
      <c r="C7" t="s">
        <v>234</v>
      </c>
    </row>
    <row r="8" spans="1:3">
      <c r="A8" t="s">
        <v>237</v>
      </c>
      <c r="B8">
        <v>0.14960100000000001</v>
      </c>
      <c r="C8" t="s">
        <v>232</v>
      </c>
    </row>
    <row r="9" spans="1:3">
      <c r="A9" t="s">
        <v>238</v>
      </c>
      <c r="B9">
        <v>2.4493000000000001E-2</v>
      </c>
      <c r="C9" t="s">
        <v>232</v>
      </c>
    </row>
  </sheetData>
  <sheetProtection algorithmName="SHA-512" hashValue="NPoFqrQQlaH/cHpFq0ihJzl15P6XiGeKuhJUGl/1Z208pHRFBAi11nI7L0fBnOTdgrkraASxiYHf2dyx3ScsUA==" saltValue="W7E55m/WHPwJHsExUQGQCQ==" spinCount="100000" sheet="1" objects="1" scenarios="1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5B49-D285-4303-AF20-88B22B1242BD}">
  <dimension ref="A1:J27"/>
  <sheetViews>
    <sheetView workbookViewId="0">
      <selection activeCell="L25" sqref="L25"/>
    </sheetView>
  </sheetViews>
  <sheetFormatPr defaultColWidth="8.85546875" defaultRowHeight="15"/>
  <cols>
    <col min="1" max="1" width="19.5703125" customWidth="1"/>
    <col min="3" max="3" width="76" customWidth="1"/>
  </cols>
  <sheetData>
    <row r="1" spans="1:10">
      <c r="A1" s="241" t="s">
        <v>239</v>
      </c>
      <c r="B1" s="241" t="s">
        <v>240</v>
      </c>
      <c r="C1" s="241" t="s">
        <v>241</v>
      </c>
      <c r="J1" s="39"/>
    </row>
    <row r="2" spans="1:10">
      <c r="A2" s="245" t="s">
        <v>57</v>
      </c>
      <c r="B2" s="17"/>
      <c r="C2" s="44"/>
      <c r="J2" s="39"/>
    </row>
    <row r="3" spans="1:10">
      <c r="A3" s="17"/>
      <c r="B3" s="17"/>
      <c r="C3" s="44"/>
      <c r="J3" s="39"/>
    </row>
    <row r="4" spans="1:10" ht="30">
      <c r="A4" t="s">
        <v>242</v>
      </c>
      <c r="B4">
        <v>675</v>
      </c>
      <c r="C4" s="43" t="s">
        <v>243</v>
      </c>
      <c r="D4" s="39"/>
    </row>
    <row r="5" spans="1:10">
      <c r="A5" t="s">
        <v>244</v>
      </c>
      <c r="B5">
        <v>601</v>
      </c>
      <c r="C5" s="43"/>
    </row>
    <row r="6" spans="1:10">
      <c r="A6" t="s">
        <v>245</v>
      </c>
      <c r="B6">
        <v>631</v>
      </c>
      <c r="C6" s="43"/>
    </row>
    <row r="7" spans="1:10">
      <c r="A7" s="213" t="s">
        <v>246</v>
      </c>
      <c r="B7" s="213"/>
      <c r="C7" s="213"/>
    </row>
    <row r="8" spans="1:10" ht="30">
      <c r="A8" t="s">
        <v>247</v>
      </c>
      <c r="B8">
        <v>4</v>
      </c>
      <c r="C8" s="43" t="s">
        <v>248</v>
      </c>
    </row>
    <row r="9" spans="1:10">
      <c r="A9" t="s">
        <v>249</v>
      </c>
      <c r="B9">
        <v>7</v>
      </c>
      <c r="C9" s="43"/>
    </row>
    <row r="10" spans="1:10">
      <c r="A10" s="213" t="s">
        <v>246</v>
      </c>
      <c r="B10" s="213"/>
      <c r="C10" s="213"/>
    </row>
    <row r="11" spans="1:10" ht="30">
      <c r="A11" t="s">
        <v>250</v>
      </c>
      <c r="B11">
        <v>6</v>
      </c>
      <c r="C11" s="43" t="s">
        <v>251</v>
      </c>
    </row>
    <row r="12" spans="1:10">
      <c r="A12" t="s">
        <v>252</v>
      </c>
      <c r="B12">
        <v>3</v>
      </c>
      <c r="C12" s="43"/>
    </row>
    <row r="13" spans="1:10">
      <c r="A13" t="s">
        <v>253</v>
      </c>
      <c r="B13">
        <v>0</v>
      </c>
      <c r="C13" s="43"/>
    </row>
    <row r="14" spans="1:10">
      <c r="A14" t="s">
        <v>254</v>
      </c>
      <c r="B14">
        <v>0</v>
      </c>
      <c r="C14" s="43"/>
    </row>
    <row r="15" spans="1:10">
      <c r="A15" t="s">
        <v>255</v>
      </c>
      <c r="B15">
        <v>1</v>
      </c>
      <c r="C15" s="43"/>
    </row>
    <row r="16" spans="1:10">
      <c r="A16" t="s">
        <v>256</v>
      </c>
      <c r="B16">
        <v>3</v>
      </c>
      <c r="C16" s="43"/>
    </row>
    <row r="17" spans="1:3">
      <c r="A17" t="s">
        <v>257</v>
      </c>
      <c r="B17">
        <v>2</v>
      </c>
      <c r="C17" s="43"/>
    </row>
    <row r="18" spans="1:3">
      <c r="A18" t="s">
        <v>258</v>
      </c>
      <c r="B18">
        <v>8</v>
      </c>
      <c r="C18" s="43"/>
    </row>
    <row r="19" spans="1:3">
      <c r="A19" s="213"/>
      <c r="B19" s="213"/>
      <c r="C19" s="213"/>
    </row>
    <row r="20" spans="1:3" ht="30">
      <c r="A20" t="s">
        <v>259</v>
      </c>
      <c r="B20">
        <v>1585</v>
      </c>
      <c r="C20" s="44" t="s">
        <v>260</v>
      </c>
    </row>
    <row r="21" spans="1:3">
      <c r="A21" t="s">
        <v>261</v>
      </c>
      <c r="B21">
        <v>1430</v>
      </c>
      <c r="C21" s="44"/>
    </row>
    <row r="22" spans="1:3">
      <c r="A22" t="s">
        <v>262</v>
      </c>
      <c r="B22">
        <v>1770</v>
      </c>
      <c r="C22" s="44"/>
    </row>
    <row r="23" spans="1:3">
      <c r="A23" t="s">
        <v>263</v>
      </c>
      <c r="B23">
        <v>2090</v>
      </c>
      <c r="C23" s="44"/>
    </row>
    <row r="24" spans="1:3">
      <c r="A24" s="13"/>
      <c r="B24" s="13"/>
      <c r="C24" s="13"/>
    </row>
    <row r="25" spans="1:3">
      <c r="A25" s="244" t="s">
        <v>264</v>
      </c>
      <c r="B25" s="13"/>
      <c r="C25" s="13"/>
    </row>
    <row r="26" spans="1:3">
      <c r="A26" s="244" t="s">
        <v>265</v>
      </c>
      <c r="B26" s="13"/>
      <c r="C26" s="13"/>
    </row>
    <row r="27" spans="1:3">
      <c r="A27" s="13"/>
      <c r="B27" s="13"/>
      <c r="C27" s="13"/>
    </row>
  </sheetData>
  <sheetProtection algorithmName="SHA-512" hashValue="fJYJFAXBK+lc4y9G6d4UutJzmaOaHZp6WlVfCfCFp3oy/nH+fzxZnKA8wqC9Q9BPnTYZZB2JMzIPfVYiEOE5DQ==" saltValue="fKM9Z0dlDr5HFqKLMtaRog==" spinCount="100000" sheet="1" objects="1" scenarios="1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A10F-9929-4152-A660-5232D4DAFB62}">
  <dimension ref="A3:A13"/>
  <sheetViews>
    <sheetView workbookViewId="0">
      <selection activeCell="A2" sqref="A2"/>
    </sheetView>
  </sheetViews>
  <sheetFormatPr defaultColWidth="9.140625" defaultRowHeight="15"/>
  <sheetData>
    <row r="3" spans="1:1">
      <c r="A3" t="s">
        <v>266</v>
      </c>
    </row>
    <row r="4" spans="1:1">
      <c r="A4" t="s">
        <v>87</v>
      </c>
    </row>
    <row r="13" spans="1:1">
      <c r="A13" s="20"/>
    </row>
  </sheetData>
  <sheetProtection algorithmName="SHA-512" hashValue="ZnSp3sh14yCMXpGwvE7oaQvRtWoP08GZ3N9rbQKvfedFxwEKsQZ2iiXvVMDM6OfqabEo6RuWhbBsPKY8G2Txzw==" saltValue="ODmoOBclNMlEqZFZLfQq7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7F55-1BF7-4DA1-A4BE-2D7D761EA930}">
  <dimension ref="A1:M150"/>
  <sheetViews>
    <sheetView showGridLines="0" zoomScale="89" zoomScaleNormal="89" workbookViewId="0">
      <selection activeCell="C144" sqref="C144"/>
    </sheetView>
  </sheetViews>
  <sheetFormatPr defaultColWidth="9.140625" defaultRowHeight="15"/>
  <cols>
    <col min="1" max="1" width="48" customWidth="1"/>
    <col min="2" max="2" width="11.5703125" style="5" customWidth="1"/>
    <col min="3" max="3" width="13.28515625" customWidth="1"/>
    <col min="4" max="4" width="16.140625" customWidth="1"/>
    <col min="5" max="5" width="12.28515625" customWidth="1"/>
    <col min="6" max="6" width="5.5703125" customWidth="1"/>
    <col min="7" max="7" width="3.85546875" customWidth="1"/>
    <col min="8" max="8" width="16.140625" customWidth="1"/>
    <col min="9" max="9" width="76.140625" customWidth="1"/>
    <col min="10" max="10" width="3.85546875" customWidth="1"/>
    <col min="11" max="11" width="18.28515625" hidden="1" customWidth="1"/>
    <col min="12" max="12" width="14.85546875" hidden="1" customWidth="1"/>
    <col min="13" max="13" width="125.140625" hidden="1" customWidth="1"/>
  </cols>
  <sheetData>
    <row r="1" spans="1:13" ht="21">
      <c r="A1" s="41" t="s">
        <v>0</v>
      </c>
    </row>
    <row r="2" spans="1:13" ht="26.1" customHeight="1">
      <c r="A2" s="218" t="s">
        <v>10</v>
      </c>
      <c r="B2" s="219"/>
      <c r="C2" s="220"/>
      <c r="D2" s="220"/>
      <c r="E2" s="220"/>
      <c r="F2" s="220"/>
      <c r="G2" s="220"/>
      <c r="H2" s="92" t="s">
        <v>11</v>
      </c>
      <c r="I2" s="94"/>
      <c r="J2" s="94"/>
      <c r="K2" s="4" t="s">
        <v>12</v>
      </c>
      <c r="L2" s="1"/>
      <c r="M2" s="1"/>
    </row>
    <row r="3" spans="1:13" ht="17.45" customHeight="1">
      <c r="A3" s="3" t="s">
        <v>13</v>
      </c>
      <c r="B3" s="255"/>
      <c r="C3" s="255"/>
      <c r="D3" s="255"/>
      <c r="E3" s="3"/>
      <c r="F3" s="2"/>
      <c r="G3" s="2"/>
      <c r="H3" s="2"/>
      <c r="I3" s="2"/>
      <c r="J3" s="2"/>
      <c r="K3" s="12"/>
      <c r="L3" s="12"/>
      <c r="M3" s="12"/>
    </row>
    <row r="4" spans="1:13" ht="17.45" customHeight="1">
      <c r="A4" s="3" t="s">
        <v>14</v>
      </c>
      <c r="B4" s="256"/>
      <c r="C4" s="257"/>
      <c r="D4" s="258"/>
      <c r="E4" s="3"/>
      <c r="F4" s="2"/>
      <c r="G4" s="2"/>
      <c r="H4" s="2"/>
      <c r="I4" s="2"/>
      <c r="J4" s="2"/>
      <c r="K4" s="12"/>
      <c r="L4" s="12"/>
      <c r="M4" s="12"/>
    </row>
    <row r="5" spans="1:13">
      <c r="A5" s="3" t="s">
        <v>15</v>
      </c>
      <c r="B5" s="256"/>
      <c r="C5" s="257"/>
      <c r="D5" s="258"/>
      <c r="E5" s="2"/>
      <c r="F5" s="2"/>
      <c r="G5" s="2"/>
      <c r="H5" s="2"/>
      <c r="I5" s="2"/>
      <c r="J5" s="2"/>
      <c r="K5" s="12"/>
      <c r="L5" s="12"/>
      <c r="M5" s="12"/>
    </row>
    <row r="6" spans="1:13">
      <c r="A6" s="3" t="s">
        <v>16</v>
      </c>
      <c r="B6" s="256"/>
      <c r="C6" s="257"/>
      <c r="D6" s="258"/>
      <c r="E6" s="2"/>
      <c r="F6" s="2"/>
      <c r="G6" s="2"/>
      <c r="H6" s="2"/>
      <c r="I6" s="2"/>
      <c r="J6" s="2"/>
      <c r="K6" s="12"/>
      <c r="L6" s="12"/>
      <c r="M6" s="12"/>
    </row>
    <row r="7" spans="1:13">
      <c r="A7" s="3" t="s">
        <v>17</v>
      </c>
      <c r="B7" s="263"/>
      <c r="C7" s="263"/>
      <c r="D7" s="263"/>
      <c r="E7" s="2"/>
      <c r="F7" s="2"/>
      <c r="G7" s="2"/>
      <c r="H7" s="2"/>
      <c r="I7" s="2"/>
      <c r="J7" s="2"/>
      <c r="K7" s="12"/>
      <c r="L7" s="12"/>
      <c r="M7" s="12"/>
    </row>
    <row r="8" spans="1:13">
      <c r="A8" s="3"/>
      <c r="B8" s="255"/>
      <c r="C8" s="255"/>
      <c r="D8" s="255"/>
      <c r="E8" s="2"/>
      <c r="F8" s="2"/>
      <c r="G8" s="2"/>
      <c r="H8" s="2"/>
      <c r="I8" s="2"/>
      <c r="J8" s="2"/>
      <c r="K8" s="12"/>
      <c r="L8" s="12"/>
      <c r="M8" s="12"/>
    </row>
    <row r="9" spans="1:13">
      <c r="A9" s="3" t="s">
        <v>18</v>
      </c>
      <c r="B9" s="255"/>
      <c r="C9" s="255"/>
      <c r="D9" s="255"/>
      <c r="E9" s="2"/>
      <c r="F9" s="2"/>
      <c r="G9" s="2"/>
      <c r="H9" s="2"/>
      <c r="I9" s="2"/>
      <c r="J9" s="2"/>
      <c r="K9" s="12"/>
      <c r="L9" s="12"/>
      <c r="M9" s="12"/>
    </row>
    <row r="10" spans="1:13">
      <c r="A10" s="3" t="s">
        <v>19</v>
      </c>
      <c r="B10" s="255"/>
      <c r="C10" s="255"/>
      <c r="D10" s="255"/>
      <c r="E10" s="2"/>
      <c r="F10" s="2"/>
      <c r="G10" s="2"/>
      <c r="H10" s="2"/>
      <c r="I10" s="2"/>
      <c r="J10" s="2"/>
      <c r="K10" s="12"/>
      <c r="L10" s="12"/>
      <c r="M10" s="12"/>
    </row>
    <row r="11" spans="1:13">
      <c r="A11" s="3"/>
      <c r="B11" s="2"/>
      <c r="C11" s="2"/>
      <c r="D11" s="2"/>
      <c r="E11" s="2"/>
      <c r="F11" s="2"/>
      <c r="G11" s="2"/>
      <c r="H11" s="2"/>
      <c r="I11" s="2"/>
      <c r="J11" s="2"/>
      <c r="K11" s="12"/>
      <c r="L11" s="12"/>
      <c r="M11" s="12"/>
    </row>
    <row r="12" spans="1:13">
      <c r="A12" s="3"/>
      <c r="B12" s="2"/>
      <c r="C12" s="2"/>
      <c r="D12" s="2"/>
      <c r="E12" s="2"/>
      <c r="F12" s="2"/>
      <c r="G12" s="2"/>
      <c r="H12" s="2"/>
      <c r="I12" s="2"/>
      <c r="J12" s="2"/>
      <c r="K12" s="12"/>
      <c r="L12" s="12"/>
      <c r="M12" s="12"/>
    </row>
    <row r="13" spans="1:13">
      <c r="A13" s="13"/>
      <c r="B13" s="14"/>
      <c r="C13" s="13"/>
      <c r="D13" s="13"/>
      <c r="E13" s="13"/>
      <c r="F13" s="13"/>
      <c r="G13" s="13"/>
      <c r="H13" s="2"/>
      <c r="I13" s="2"/>
      <c r="J13" s="2"/>
      <c r="K13" s="12"/>
      <c r="L13" s="12"/>
      <c r="M13" s="12"/>
    </row>
    <row r="14" spans="1:13" ht="29.1" customHeight="1">
      <c r="A14" s="95" t="s">
        <v>20</v>
      </c>
      <c r="B14" s="96"/>
      <c r="C14" s="97"/>
      <c r="D14" s="97"/>
      <c r="E14" s="97"/>
      <c r="F14" s="98"/>
      <c r="G14" s="13"/>
      <c r="H14" s="6" t="s">
        <v>21</v>
      </c>
      <c r="I14" s="262" t="s">
        <v>22</v>
      </c>
      <c r="J14" s="7"/>
      <c r="K14" s="12"/>
      <c r="L14" s="12"/>
      <c r="M14" s="12"/>
    </row>
    <row r="15" spans="1:13">
      <c r="A15" s="99"/>
      <c r="B15" s="100"/>
      <c r="C15" s="101"/>
      <c r="D15" s="101"/>
      <c r="E15" s="101"/>
      <c r="F15" s="102"/>
      <c r="G15" s="13"/>
      <c r="H15" s="2"/>
      <c r="I15" s="262"/>
      <c r="J15" s="7"/>
      <c r="K15" s="12"/>
      <c r="L15" s="12"/>
      <c r="M15" s="12"/>
    </row>
    <row r="16" spans="1:13">
      <c r="A16" s="103" t="s">
        <v>23</v>
      </c>
      <c r="B16" s="104"/>
      <c r="C16" s="105"/>
      <c r="D16" s="105"/>
      <c r="E16" s="105"/>
      <c r="F16" s="106"/>
      <c r="G16" s="13"/>
      <c r="H16" s="2"/>
      <c r="I16" s="262"/>
      <c r="J16" s="7"/>
      <c r="K16" s="12"/>
      <c r="L16" s="12"/>
      <c r="M16" s="12"/>
    </row>
    <row r="17" spans="1:13">
      <c r="A17" s="114"/>
      <c r="B17" s="100"/>
      <c r="C17" s="101"/>
      <c r="D17" s="101"/>
      <c r="E17" s="101"/>
      <c r="F17" s="102"/>
      <c r="G17" s="13"/>
      <c r="H17" s="2"/>
      <c r="I17" s="7"/>
      <c r="J17" s="7"/>
      <c r="K17" s="12"/>
      <c r="L17" s="12"/>
      <c r="M17" s="12"/>
    </row>
    <row r="18" spans="1:13" ht="45">
      <c r="A18" s="107" t="s">
        <v>24</v>
      </c>
      <c r="B18" s="108" t="s">
        <v>25</v>
      </c>
      <c r="C18" s="108" t="s">
        <v>26</v>
      </c>
      <c r="D18" s="109" t="s">
        <v>27</v>
      </c>
      <c r="E18" s="109" t="s">
        <v>28</v>
      </c>
      <c r="F18" s="102"/>
      <c r="G18" s="13"/>
      <c r="H18" s="40" t="s">
        <v>29</v>
      </c>
      <c r="I18" s="262" t="s">
        <v>30</v>
      </c>
      <c r="J18" s="7"/>
      <c r="K18" s="123" t="s">
        <v>31</v>
      </c>
      <c r="L18" s="123" t="s">
        <v>32</v>
      </c>
      <c r="M18" s="123" t="s">
        <v>33</v>
      </c>
    </row>
    <row r="19" spans="1:13">
      <c r="A19" s="115" t="s">
        <v>34</v>
      </c>
      <c r="B19" s="55" t="s">
        <v>35</v>
      </c>
      <c r="C19" s="66"/>
      <c r="D19" s="119" t="str">
        <f t="shared" ref="D19:D29" si="0">IF(C19&gt;0,K19,"")</f>
        <v/>
      </c>
      <c r="E19" s="153" t="str">
        <f t="shared" ref="E19:E29" si="1">IF(C19&gt;0,C19*K19,"")</f>
        <v/>
      </c>
      <c r="F19" s="102"/>
      <c r="G19" s="13"/>
      <c r="H19" s="2"/>
      <c r="I19" s="262"/>
      <c r="J19" s="7"/>
      <c r="K19" s="11">
        <f>VLOOKUP(B19,Erdgas[],2)</f>
        <v>0.20100000000000001</v>
      </c>
      <c r="L19" s="11" t="str">
        <f t="shared" ref="L19:L28" si="2">B19</f>
        <v>kWh</v>
      </c>
      <c r="M19" s="30" t="s">
        <v>36</v>
      </c>
    </row>
    <row r="20" spans="1:13">
      <c r="A20" s="115" t="s">
        <v>37</v>
      </c>
      <c r="B20" s="55" t="s">
        <v>38</v>
      </c>
      <c r="C20" s="66"/>
      <c r="D20" s="119" t="str">
        <f t="shared" si="0"/>
        <v/>
      </c>
      <c r="E20" s="153" t="str">
        <f t="shared" si="1"/>
        <v/>
      </c>
      <c r="F20" s="102"/>
      <c r="G20" s="13"/>
      <c r="H20" s="2"/>
      <c r="I20" s="262"/>
      <c r="J20" s="7"/>
      <c r="K20" s="11">
        <f>VLOOKUP(B20,Fluessiggas[],2,0)</f>
        <v>2.98</v>
      </c>
      <c r="L20" s="11" t="str">
        <f t="shared" si="2"/>
        <v>kg</v>
      </c>
      <c r="M20" s="30" t="s">
        <v>36</v>
      </c>
    </row>
    <row r="21" spans="1:13">
      <c r="A21" s="115" t="s">
        <v>39</v>
      </c>
      <c r="B21" s="55" t="s">
        <v>40</v>
      </c>
      <c r="C21" s="66"/>
      <c r="D21" s="119" t="str">
        <f t="shared" si="0"/>
        <v/>
      </c>
      <c r="E21" s="153" t="str">
        <f t="shared" si="1"/>
        <v/>
      </c>
      <c r="F21" s="102"/>
      <c r="G21" s="13"/>
      <c r="H21" s="2"/>
      <c r="I21" s="262"/>
      <c r="J21" s="7"/>
      <c r="K21" s="11">
        <f>VLOOKUP(B21,Propan[],2)</f>
        <v>1.51</v>
      </c>
      <c r="L21" s="11" t="str">
        <f t="shared" si="2"/>
        <v>m3</v>
      </c>
      <c r="M21" s="30" t="s">
        <v>36</v>
      </c>
    </row>
    <row r="22" spans="1:13">
      <c r="A22" s="115" t="s">
        <v>41</v>
      </c>
      <c r="B22" s="55" t="s">
        <v>35</v>
      </c>
      <c r="C22" s="66"/>
      <c r="D22" s="119" t="str">
        <f t="shared" si="0"/>
        <v/>
      </c>
      <c r="E22" s="153" t="str">
        <f t="shared" si="1"/>
        <v/>
      </c>
      <c r="F22" s="102"/>
      <c r="G22" s="13"/>
      <c r="H22" s="2"/>
      <c r="I22" s="262"/>
      <c r="J22" s="7"/>
      <c r="K22" s="11">
        <f>VLOOKUP(B22,Heizoel[],2,0)</f>
        <v>0.26700000000000002</v>
      </c>
      <c r="L22" s="11" t="str">
        <f t="shared" si="2"/>
        <v>kWh</v>
      </c>
      <c r="M22" s="30" t="s">
        <v>36</v>
      </c>
    </row>
    <row r="23" spans="1:13">
      <c r="A23" s="115" t="s">
        <v>42</v>
      </c>
      <c r="B23" s="55" t="s">
        <v>35</v>
      </c>
      <c r="C23" s="66"/>
      <c r="D23" s="119" t="str">
        <f t="shared" si="0"/>
        <v/>
      </c>
      <c r="E23" s="153" t="str">
        <f t="shared" si="1"/>
        <v/>
      </c>
      <c r="F23" s="102"/>
      <c r="G23" s="13"/>
      <c r="H23" s="2"/>
      <c r="I23" s="262"/>
      <c r="J23" s="7"/>
      <c r="K23" s="11">
        <f>VLOOKUP(B23,Biogas[],2)</f>
        <v>0.152</v>
      </c>
      <c r="L23" s="11" t="str">
        <f t="shared" si="2"/>
        <v>kWh</v>
      </c>
      <c r="M23" s="30" t="s">
        <v>36</v>
      </c>
    </row>
    <row r="24" spans="1:13">
      <c r="A24" s="115" t="s">
        <v>43</v>
      </c>
      <c r="B24" s="55" t="s">
        <v>35</v>
      </c>
      <c r="C24" s="66"/>
      <c r="D24" s="119" t="str">
        <f t="shared" si="0"/>
        <v/>
      </c>
      <c r="E24" s="153" t="str">
        <f t="shared" si="1"/>
        <v/>
      </c>
      <c r="F24" s="102"/>
      <c r="G24" s="13"/>
      <c r="H24" s="2"/>
      <c r="I24" s="7"/>
      <c r="J24" s="7"/>
      <c r="K24" s="11">
        <f>VLOOKUP(B24,Biooel[],2)</f>
        <v>0.11700000000000001</v>
      </c>
      <c r="L24" s="11" t="str">
        <f>B24</f>
        <v>kWh</v>
      </c>
      <c r="M24" s="30" t="s">
        <v>36</v>
      </c>
    </row>
    <row r="25" spans="1:13">
      <c r="A25" s="115" t="s">
        <v>44</v>
      </c>
      <c r="B25" s="55" t="s">
        <v>38</v>
      </c>
      <c r="C25" s="66"/>
      <c r="D25" s="119" t="str">
        <f t="shared" si="0"/>
        <v/>
      </c>
      <c r="E25" s="153" t="str">
        <f t="shared" si="1"/>
        <v/>
      </c>
      <c r="F25" s="102"/>
      <c r="G25" s="13"/>
      <c r="H25" s="2"/>
      <c r="I25" s="2"/>
      <c r="J25" s="2"/>
      <c r="K25" s="11">
        <f>VLOOKUP(B25,Brennholz[],2,0)</f>
        <v>0.11</v>
      </c>
      <c r="L25" s="11" t="str">
        <f t="shared" si="2"/>
        <v>kg</v>
      </c>
      <c r="M25" s="30" t="s">
        <v>36</v>
      </c>
    </row>
    <row r="26" spans="1:13">
      <c r="A26" s="115" t="s">
        <v>45</v>
      </c>
      <c r="B26" s="55" t="s">
        <v>35</v>
      </c>
      <c r="C26" s="66"/>
      <c r="D26" s="119" t="str">
        <f t="shared" si="0"/>
        <v/>
      </c>
      <c r="E26" s="153" t="str">
        <f t="shared" si="1"/>
        <v/>
      </c>
      <c r="F26" s="102"/>
      <c r="G26" s="13"/>
      <c r="H26" s="2"/>
      <c r="I26" s="2"/>
      <c r="J26" s="2"/>
      <c r="K26" s="11">
        <f>VLOOKUP(B26,Holzpellets[],2,0)</f>
        <v>3.5999999999999997E-2</v>
      </c>
      <c r="L26" s="11" t="str">
        <f t="shared" si="2"/>
        <v>kWh</v>
      </c>
      <c r="M26" s="30" t="s">
        <v>36</v>
      </c>
    </row>
    <row r="27" spans="1:13">
      <c r="A27" s="115" t="s">
        <v>46</v>
      </c>
      <c r="B27" s="55" t="s">
        <v>47</v>
      </c>
      <c r="C27" s="66"/>
      <c r="D27" s="119" t="str">
        <f t="shared" si="0"/>
        <v/>
      </c>
      <c r="E27" s="153" t="str">
        <f t="shared" si="1"/>
        <v/>
      </c>
      <c r="F27" s="102"/>
      <c r="G27" s="13"/>
      <c r="H27" s="2"/>
      <c r="I27" s="2"/>
      <c r="J27" s="2"/>
      <c r="K27" s="11">
        <f>VLOOKUP(B27,Hackschnitzel[],2,0)</f>
        <v>9.7439999999999998</v>
      </c>
      <c r="L27" s="11" t="str">
        <f t="shared" si="2"/>
        <v>msr</v>
      </c>
      <c r="M27" s="30" t="s">
        <v>36</v>
      </c>
    </row>
    <row r="28" spans="1:13">
      <c r="A28" s="115" t="s">
        <v>48</v>
      </c>
      <c r="B28" s="55" t="s">
        <v>35</v>
      </c>
      <c r="C28" s="66"/>
      <c r="D28" s="119" t="str">
        <f t="shared" si="0"/>
        <v/>
      </c>
      <c r="E28" s="153" t="str">
        <f t="shared" si="1"/>
        <v/>
      </c>
      <c r="F28" s="102"/>
      <c r="G28" s="13"/>
      <c r="H28" s="2"/>
      <c r="I28" s="2"/>
      <c r="J28" s="2"/>
      <c r="K28" s="11">
        <f>VLOOKUP(B28,Grey_H2[],2,0)</f>
        <v>0.39800000000000002</v>
      </c>
      <c r="L28" s="11" t="str">
        <f t="shared" si="2"/>
        <v>kWh</v>
      </c>
      <c r="M28" s="30" t="s">
        <v>36</v>
      </c>
    </row>
    <row r="29" spans="1:13">
      <c r="A29" s="115" t="s">
        <v>49</v>
      </c>
      <c r="B29" s="55" t="s">
        <v>35</v>
      </c>
      <c r="C29" s="66"/>
      <c r="D29" s="119" t="str">
        <f t="shared" si="0"/>
        <v/>
      </c>
      <c r="E29" s="153" t="str">
        <f t="shared" si="1"/>
        <v/>
      </c>
      <c r="F29" s="102"/>
      <c r="G29" s="13"/>
      <c r="H29" s="2"/>
      <c r="I29" s="2"/>
      <c r="J29" s="2"/>
      <c r="K29" s="11">
        <f>VLOOKUP(B29,Green_H2[],2,0)</f>
        <v>2.5999999999999999E-2</v>
      </c>
      <c r="L29" s="11" t="str">
        <f>B28</f>
        <v>kWh</v>
      </c>
      <c r="M29" s="30" t="s">
        <v>36</v>
      </c>
    </row>
    <row r="30" spans="1:13" ht="15" customHeight="1">
      <c r="A30" s="110" t="s">
        <v>50</v>
      </c>
      <c r="B30" s="104"/>
      <c r="C30" s="111"/>
      <c r="D30" s="112"/>
      <c r="E30" s="154"/>
      <c r="F30" s="102"/>
      <c r="G30" s="13"/>
      <c r="H30" s="2"/>
      <c r="I30" s="16" t="s">
        <v>51</v>
      </c>
      <c r="J30" s="2"/>
      <c r="K30" s="12"/>
      <c r="L30" s="12"/>
      <c r="M30" s="12"/>
    </row>
    <row r="31" spans="1:13" ht="15" customHeight="1">
      <c r="A31" s="56"/>
      <c r="B31" s="55"/>
      <c r="C31" s="66"/>
      <c r="D31" s="80"/>
      <c r="E31" s="153" t="str">
        <f>IF(C31&gt;0,C31*D31,"")</f>
        <v/>
      </c>
      <c r="F31" s="102"/>
      <c r="G31" s="13"/>
      <c r="H31" s="2"/>
      <c r="I31" s="16"/>
      <c r="J31" s="2"/>
      <c r="K31" s="12"/>
      <c r="L31" s="12"/>
      <c r="M31" s="12"/>
    </row>
    <row r="32" spans="1:13" ht="15" customHeight="1">
      <c r="A32" s="56"/>
      <c r="B32" s="55"/>
      <c r="C32" s="66"/>
      <c r="D32" s="80"/>
      <c r="E32" s="153" t="str">
        <f>IF(C32&gt;0,C32*D32,"")</f>
        <v/>
      </c>
      <c r="F32" s="102"/>
      <c r="G32" s="13"/>
      <c r="H32" s="2"/>
      <c r="I32" s="16"/>
      <c r="J32" s="2"/>
      <c r="K32" s="12"/>
      <c r="L32" s="12"/>
      <c r="M32" s="12"/>
    </row>
    <row r="33" spans="1:13" ht="15" customHeight="1">
      <c r="A33" s="56"/>
      <c r="B33" s="55"/>
      <c r="C33" s="66"/>
      <c r="D33" s="80"/>
      <c r="E33" s="153" t="str">
        <f>IF(C33&gt;0,C33*D33,"")</f>
        <v/>
      </c>
      <c r="F33" s="102"/>
      <c r="G33" s="13"/>
      <c r="H33" s="2"/>
      <c r="I33" s="16"/>
      <c r="J33" s="2"/>
      <c r="K33" s="12"/>
      <c r="L33" s="12"/>
      <c r="M33" s="12"/>
    </row>
    <row r="34" spans="1:13">
      <c r="A34" s="99"/>
      <c r="B34" s="100"/>
      <c r="C34" s="101"/>
      <c r="D34" s="101"/>
      <c r="E34" s="101"/>
      <c r="F34" s="102"/>
      <c r="G34" s="13"/>
      <c r="H34" s="2"/>
      <c r="I34" s="2"/>
      <c r="J34" s="2"/>
      <c r="K34" s="12"/>
      <c r="L34" s="12"/>
      <c r="M34" s="12"/>
    </row>
    <row r="35" spans="1:13" ht="17.100000000000001" customHeight="1">
      <c r="A35" s="103" t="s">
        <v>52</v>
      </c>
      <c r="B35" s="116"/>
      <c r="C35" s="105"/>
      <c r="D35" s="105"/>
      <c r="E35" s="105"/>
      <c r="F35" s="106"/>
      <c r="G35" s="13"/>
      <c r="H35" s="2"/>
      <c r="I35" s="2"/>
      <c r="J35" s="2"/>
      <c r="K35" s="12"/>
      <c r="L35" s="12"/>
      <c r="M35" s="12"/>
    </row>
    <row r="36" spans="1:13" ht="18.95" customHeight="1">
      <c r="A36" s="99"/>
      <c r="B36" s="100"/>
      <c r="C36" s="117"/>
      <c r="D36" s="117"/>
      <c r="E36" s="117"/>
      <c r="F36" s="102"/>
      <c r="G36" s="13"/>
      <c r="H36" s="2"/>
      <c r="I36" s="2"/>
      <c r="J36" s="2"/>
      <c r="K36" s="12"/>
      <c r="L36" s="12"/>
      <c r="M36" s="12"/>
    </row>
    <row r="37" spans="1:13" ht="45">
      <c r="A37" s="122" t="s">
        <v>53</v>
      </c>
      <c r="B37" s="108" t="s">
        <v>25</v>
      </c>
      <c r="C37" s="108" t="s">
        <v>26</v>
      </c>
      <c r="D37" s="109" t="s">
        <v>54</v>
      </c>
      <c r="E37" s="109" t="s">
        <v>28</v>
      </c>
      <c r="F37" s="102"/>
      <c r="G37" s="13"/>
      <c r="H37" s="2" t="s">
        <v>55</v>
      </c>
      <c r="I37" s="262" t="s">
        <v>56</v>
      </c>
      <c r="J37" s="7"/>
      <c r="K37" s="123" t="s">
        <v>31</v>
      </c>
      <c r="L37" s="123" t="s">
        <v>32</v>
      </c>
      <c r="M37" s="123" t="s">
        <v>33</v>
      </c>
    </row>
    <row r="38" spans="1:13">
      <c r="A38" s="56" t="s">
        <v>57</v>
      </c>
      <c r="B38" s="118" t="s">
        <v>38</v>
      </c>
      <c r="C38" s="67"/>
      <c r="D38" s="155" t="str">
        <f>IF(C38&gt;0,K38,"")</f>
        <v/>
      </c>
      <c r="E38" s="159" t="str">
        <f>IF(C38&gt;0,C38*K38,"")</f>
        <v/>
      </c>
      <c r="F38" s="102"/>
      <c r="G38" s="13"/>
      <c r="H38" s="2"/>
      <c r="I38" s="262"/>
      <c r="J38" s="7"/>
      <c r="K38" s="11">
        <f>VLOOKUP(A38,Kaeltemittel_IT[],2,0)</f>
        <v>0</v>
      </c>
      <c r="L38" s="11" t="s">
        <v>58</v>
      </c>
      <c r="M38" s="11" t="s">
        <v>59</v>
      </c>
    </row>
    <row r="39" spans="1:13">
      <c r="A39" s="56" t="s">
        <v>57</v>
      </c>
      <c r="B39" s="118" t="s">
        <v>38</v>
      </c>
      <c r="C39" s="67"/>
      <c r="D39" s="155" t="str">
        <f>IF(C39&gt;0,K39,"")</f>
        <v/>
      </c>
      <c r="E39" s="159" t="str">
        <f>IF(C39&gt;0,C39*K39,"")</f>
        <v/>
      </c>
      <c r="F39" s="102"/>
      <c r="G39" s="13"/>
      <c r="H39" s="2"/>
      <c r="I39" s="262"/>
      <c r="J39" s="7"/>
      <c r="K39" s="11">
        <f>VLOOKUP(A39,Kaeltemittel_IT[],2,0)</f>
        <v>0</v>
      </c>
      <c r="L39" s="11" t="s">
        <v>58</v>
      </c>
      <c r="M39" s="11" t="s">
        <v>59</v>
      </c>
    </row>
    <row r="40" spans="1:13">
      <c r="A40" s="56" t="s">
        <v>57</v>
      </c>
      <c r="B40" s="118" t="s">
        <v>38</v>
      </c>
      <c r="C40" s="67"/>
      <c r="D40" s="155" t="str">
        <f>IF(C40&gt;0,K40,"")</f>
        <v/>
      </c>
      <c r="E40" s="159" t="str">
        <f>IF(C40&gt;0,C40*K40,"")</f>
        <v/>
      </c>
      <c r="F40" s="102"/>
      <c r="G40" s="13"/>
      <c r="H40" s="2"/>
      <c r="I40" s="262"/>
      <c r="J40" s="7"/>
      <c r="K40" s="11">
        <f>VLOOKUP(A40,Kaeltemittel_IT[],2,0)</f>
        <v>0</v>
      </c>
      <c r="L40" s="11" t="s">
        <v>58</v>
      </c>
      <c r="M40" s="11" t="s">
        <v>59</v>
      </c>
    </row>
    <row r="41" spans="1:13">
      <c r="A41" s="110" t="s">
        <v>50</v>
      </c>
      <c r="B41" s="104"/>
      <c r="C41" s="120"/>
      <c r="D41" s="156"/>
      <c r="E41" s="160" t="str">
        <f>IF(C41&gt;0,C41*D41,"")</f>
        <v/>
      </c>
      <c r="F41" s="102"/>
      <c r="G41" s="13"/>
      <c r="H41" s="2"/>
      <c r="I41" s="262"/>
      <c r="J41" s="7"/>
      <c r="K41" s="12"/>
      <c r="L41" s="12"/>
      <c r="M41" s="12"/>
    </row>
    <row r="42" spans="1:13">
      <c r="A42" s="57"/>
      <c r="B42" s="118" t="s">
        <v>38</v>
      </c>
      <c r="C42" s="67"/>
      <c r="D42" s="157"/>
      <c r="E42" s="159" t="str">
        <f>IF(C42&gt;0,C42*D42,"")</f>
        <v/>
      </c>
      <c r="F42" s="102"/>
      <c r="G42" s="13"/>
      <c r="H42" s="2"/>
      <c r="I42" s="262"/>
      <c r="J42" s="7"/>
      <c r="K42" s="12"/>
      <c r="L42" s="12"/>
      <c r="M42" s="12"/>
    </row>
    <row r="43" spans="1:13" ht="17.45" customHeight="1">
      <c r="A43" s="99"/>
      <c r="B43" s="100"/>
      <c r="C43" s="101"/>
      <c r="D43" s="101"/>
      <c r="E43" s="101"/>
      <c r="F43" s="102"/>
      <c r="G43" s="13"/>
      <c r="H43" s="2"/>
      <c r="I43" s="262"/>
      <c r="J43" s="7"/>
      <c r="K43" s="12"/>
      <c r="L43" s="12"/>
      <c r="M43" s="12"/>
    </row>
    <row r="44" spans="1:13">
      <c r="A44" s="103" t="s">
        <v>60</v>
      </c>
      <c r="B44" s="104"/>
      <c r="C44" s="105"/>
      <c r="D44" s="105"/>
      <c r="E44" s="105"/>
      <c r="F44" s="106"/>
      <c r="G44" s="13"/>
      <c r="H44" s="2" t="s">
        <v>61</v>
      </c>
      <c r="I44" s="262" t="s">
        <v>62</v>
      </c>
      <c r="J44" s="7"/>
      <c r="K44" s="12"/>
      <c r="L44" s="12"/>
      <c r="M44" s="12"/>
    </row>
    <row r="45" spans="1:13" ht="16.149999999999999" customHeight="1">
      <c r="A45" s="99"/>
      <c r="B45" s="100"/>
      <c r="C45" s="117"/>
      <c r="D45" s="117"/>
      <c r="E45" s="117"/>
      <c r="F45" s="102"/>
      <c r="G45" s="13"/>
      <c r="H45" s="2"/>
      <c r="I45" s="262"/>
      <c r="J45" s="7"/>
      <c r="K45" s="12"/>
      <c r="L45" s="12"/>
      <c r="M45" s="12"/>
    </row>
    <row r="46" spans="1:13" ht="45">
      <c r="A46" s="124" t="s">
        <v>63</v>
      </c>
      <c r="B46" s="108" t="s">
        <v>25</v>
      </c>
      <c r="C46" s="108" t="s">
        <v>26</v>
      </c>
      <c r="D46" s="109" t="s">
        <v>27</v>
      </c>
      <c r="E46" s="109" t="s">
        <v>28</v>
      </c>
      <c r="F46" s="102"/>
      <c r="G46" s="13"/>
      <c r="H46" s="2"/>
      <c r="I46" s="2"/>
      <c r="J46" s="2"/>
      <c r="K46" s="123" t="s">
        <v>31</v>
      </c>
      <c r="L46" s="123" t="s">
        <v>32</v>
      </c>
      <c r="M46" s="123" t="s">
        <v>33</v>
      </c>
    </row>
    <row r="47" spans="1:13" ht="21.6" customHeight="1">
      <c r="A47" s="99" t="s">
        <v>64</v>
      </c>
      <c r="B47" s="118" t="s">
        <v>65</v>
      </c>
      <c r="C47" s="71"/>
      <c r="D47" s="119" t="str">
        <f t="shared" ref="D47:D56" si="3">IF(C47&gt;0,K47,"")</f>
        <v/>
      </c>
      <c r="E47" s="153" t="str">
        <f t="shared" ref="E47:E55" si="4">IF(C47&gt;0,C47*D47,"")</f>
        <v/>
      </c>
      <c r="F47" s="102"/>
      <c r="G47" s="13"/>
      <c r="H47" s="267" t="s">
        <v>66</v>
      </c>
      <c r="I47" s="262" t="s">
        <v>67</v>
      </c>
      <c r="J47" s="7"/>
      <c r="K47" s="82">
        <v>2.879</v>
      </c>
      <c r="L47" s="11" t="s">
        <v>68</v>
      </c>
      <c r="M47" s="11" t="s">
        <v>69</v>
      </c>
    </row>
    <row r="48" spans="1:13">
      <c r="A48" s="133" t="s">
        <v>70</v>
      </c>
      <c r="B48" s="118" t="s">
        <v>65</v>
      </c>
      <c r="C48" s="71"/>
      <c r="D48" s="119" t="str">
        <f t="shared" si="3"/>
        <v/>
      </c>
      <c r="E48" s="153" t="str">
        <f t="shared" si="4"/>
        <v/>
      </c>
      <c r="F48" s="102"/>
      <c r="G48" s="13"/>
      <c r="H48" s="262"/>
      <c r="I48" s="262"/>
      <c r="J48" s="7"/>
      <c r="K48" s="82">
        <v>3.1</v>
      </c>
      <c r="L48" s="11" t="s">
        <v>68</v>
      </c>
      <c r="M48" s="11" t="s">
        <v>69</v>
      </c>
    </row>
    <row r="49" spans="1:13">
      <c r="A49" s="133" t="s">
        <v>71</v>
      </c>
      <c r="B49" s="118" t="s">
        <v>65</v>
      </c>
      <c r="C49" s="71"/>
      <c r="D49" s="119" t="str">
        <f t="shared" si="3"/>
        <v/>
      </c>
      <c r="E49" s="153" t="str">
        <f t="shared" si="4"/>
        <v/>
      </c>
      <c r="F49" s="102"/>
      <c r="G49" s="13"/>
      <c r="H49" s="2"/>
      <c r="I49" s="262"/>
      <c r="J49" s="7"/>
      <c r="K49" s="82">
        <v>0.81200000000000006</v>
      </c>
      <c r="L49" s="11" t="s">
        <v>68</v>
      </c>
      <c r="M49" s="11" t="s">
        <v>72</v>
      </c>
    </row>
    <row r="50" spans="1:13">
      <c r="A50" s="133" t="s">
        <v>73</v>
      </c>
      <c r="B50" s="118" t="s">
        <v>65</v>
      </c>
      <c r="C50" s="71"/>
      <c r="D50" s="119" t="str">
        <f t="shared" si="3"/>
        <v/>
      </c>
      <c r="E50" s="153" t="str">
        <f t="shared" si="4"/>
        <v/>
      </c>
      <c r="F50" s="102"/>
      <c r="G50" s="13"/>
      <c r="H50" s="2"/>
      <c r="I50" s="262"/>
      <c r="J50" s="7"/>
      <c r="K50" s="82">
        <v>0.439</v>
      </c>
      <c r="L50" s="11" t="s">
        <v>68</v>
      </c>
      <c r="M50" s="11" t="s">
        <v>72</v>
      </c>
    </row>
    <row r="51" spans="1:13">
      <c r="A51" s="133" t="s">
        <v>74</v>
      </c>
      <c r="B51" s="118" t="s">
        <v>38</v>
      </c>
      <c r="C51" s="71"/>
      <c r="D51" s="119" t="str">
        <f t="shared" si="3"/>
        <v/>
      </c>
      <c r="E51" s="153" t="str">
        <f t="shared" si="4"/>
        <v/>
      </c>
      <c r="F51" s="102"/>
      <c r="G51" s="13"/>
      <c r="H51" s="2"/>
      <c r="I51" s="262"/>
      <c r="J51" s="7"/>
      <c r="K51" s="82">
        <v>1.544</v>
      </c>
      <c r="L51" s="11" t="s">
        <v>75</v>
      </c>
      <c r="M51" s="11" t="s">
        <v>76</v>
      </c>
    </row>
    <row r="52" spans="1:13">
      <c r="A52" s="133" t="s">
        <v>77</v>
      </c>
      <c r="B52" s="118" t="s">
        <v>38</v>
      </c>
      <c r="C52" s="71"/>
      <c r="D52" s="119" t="str">
        <f t="shared" si="3"/>
        <v/>
      </c>
      <c r="E52" s="153" t="str">
        <f t="shared" si="4"/>
        <v/>
      </c>
      <c r="F52" s="102"/>
      <c r="G52" s="13"/>
      <c r="H52" s="2"/>
      <c r="I52" s="262"/>
      <c r="J52" s="7"/>
      <c r="K52" s="82">
        <v>2.98</v>
      </c>
      <c r="L52" s="11" t="s">
        <v>75</v>
      </c>
      <c r="M52" s="11" t="s">
        <v>78</v>
      </c>
    </row>
    <row r="53" spans="1:13">
      <c r="A53" s="133" t="s">
        <v>79</v>
      </c>
      <c r="B53" s="118" t="s">
        <v>65</v>
      </c>
      <c r="C53" s="71"/>
      <c r="D53" s="119" t="str">
        <f t="shared" si="3"/>
        <v/>
      </c>
      <c r="E53" s="153" t="str">
        <f t="shared" si="4"/>
        <v/>
      </c>
      <c r="F53" s="102"/>
      <c r="G53" s="13"/>
      <c r="H53" s="2"/>
      <c r="I53" s="262"/>
      <c r="J53" s="7"/>
      <c r="K53" s="82">
        <v>2.036</v>
      </c>
      <c r="L53" s="11" t="s">
        <v>68</v>
      </c>
      <c r="M53" s="11" t="s">
        <v>69</v>
      </c>
    </row>
    <row r="54" spans="1:13">
      <c r="A54" s="115" t="s">
        <v>48</v>
      </c>
      <c r="B54" s="118" t="s">
        <v>38</v>
      </c>
      <c r="C54" s="71"/>
      <c r="D54" s="119" t="str">
        <f t="shared" si="3"/>
        <v/>
      </c>
      <c r="E54" s="153" t="str">
        <f t="shared" si="4"/>
        <v/>
      </c>
      <c r="F54" s="102"/>
      <c r="G54" s="13"/>
      <c r="H54" s="2"/>
      <c r="I54" s="7"/>
      <c r="J54" s="7"/>
      <c r="K54" s="82">
        <v>13.24</v>
      </c>
      <c r="L54" s="11" t="s">
        <v>75</v>
      </c>
      <c r="M54" s="11" t="s">
        <v>80</v>
      </c>
    </row>
    <row r="55" spans="1:13">
      <c r="A55" s="115" t="s">
        <v>49</v>
      </c>
      <c r="B55" s="118" t="s">
        <v>38</v>
      </c>
      <c r="C55" s="71"/>
      <c r="D55" s="119" t="str">
        <f t="shared" si="3"/>
        <v/>
      </c>
      <c r="E55" s="153" t="str">
        <f t="shared" si="4"/>
        <v/>
      </c>
      <c r="F55" s="102"/>
      <c r="G55" s="13"/>
      <c r="H55" s="2"/>
      <c r="I55" s="7"/>
      <c r="J55" s="7"/>
      <c r="K55" s="82">
        <v>0.88</v>
      </c>
      <c r="L55" s="11" t="s">
        <v>75</v>
      </c>
      <c r="M55" s="11" t="s">
        <v>80</v>
      </c>
    </row>
    <row r="56" spans="1:13" ht="15" customHeight="1">
      <c r="A56" s="134" t="s">
        <v>81</v>
      </c>
      <c r="B56" s="118" t="s">
        <v>35</v>
      </c>
      <c r="C56" s="71"/>
      <c r="D56" s="119" t="str">
        <f t="shared" si="3"/>
        <v/>
      </c>
      <c r="E56" s="153" t="str">
        <f>IF(B57="ja",0,(IF(C56="","",C56*K56)))</f>
        <v/>
      </c>
      <c r="F56" s="102"/>
      <c r="G56" s="13"/>
      <c r="H56" s="264" t="s">
        <v>82</v>
      </c>
      <c r="I56" s="262" t="s">
        <v>83</v>
      </c>
      <c r="J56" s="2"/>
      <c r="K56" s="82">
        <v>0.28920000000000001</v>
      </c>
      <c r="L56" s="11" t="s">
        <v>84</v>
      </c>
      <c r="M56" s="11" t="s">
        <v>85</v>
      </c>
    </row>
    <row r="57" spans="1:13">
      <c r="A57" s="125" t="s">
        <v>86</v>
      </c>
      <c r="B57" s="55" t="s">
        <v>87</v>
      </c>
      <c r="C57" s="104"/>
      <c r="D57" s="112"/>
      <c r="E57" s="154"/>
      <c r="F57" s="102"/>
      <c r="G57" s="13"/>
      <c r="H57" s="265"/>
      <c r="I57" s="262"/>
      <c r="J57" s="2"/>
      <c r="K57" s="12"/>
      <c r="L57" s="12"/>
      <c r="M57" s="12"/>
    </row>
    <row r="58" spans="1:13">
      <c r="A58" s="126" t="s">
        <v>88</v>
      </c>
      <c r="B58" s="127" t="s">
        <v>84</v>
      </c>
      <c r="C58" s="58"/>
      <c r="D58" s="112"/>
      <c r="E58" s="153" t="str">
        <f>IF(C58="","",C56*C58)</f>
        <v/>
      </c>
      <c r="F58" s="102"/>
      <c r="G58" s="13"/>
      <c r="H58" s="265"/>
      <c r="I58" s="262"/>
      <c r="J58" s="2"/>
      <c r="K58" s="12"/>
      <c r="L58" s="12"/>
      <c r="M58" s="12"/>
    </row>
    <row r="59" spans="1:13">
      <c r="A59" s="110" t="s">
        <v>50</v>
      </c>
      <c r="B59" s="127"/>
      <c r="C59" s="128"/>
      <c r="D59" s="129"/>
      <c r="E59" s="158"/>
      <c r="F59" s="102"/>
      <c r="G59" s="13"/>
      <c r="H59" s="2"/>
      <c r="I59" s="7"/>
      <c r="J59" s="2"/>
      <c r="K59" s="12"/>
      <c r="L59" s="12"/>
      <c r="M59" s="12"/>
    </row>
    <row r="60" spans="1:13">
      <c r="A60" s="57"/>
      <c r="B60" s="59"/>
      <c r="C60" s="72"/>
      <c r="D60" s="81"/>
      <c r="E60" s="159" t="str">
        <f>IF(C60&gt;0,C60*D60,"")</f>
        <v/>
      </c>
      <c r="F60" s="102"/>
      <c r="G60" s="13"/>
      <c r="H60" s="2"/>
      <c r="I60" s="2"/>
      <c r="J60" s="2"/>
      <c r="K60" s="12"/>
      <c r="L60" s="12"/>
      <c r="M60" s="12"/>
    </row>
    <row r="61" spans="1:13">
      <c r="A61" s="56"/>
      <c r="B61" s="59"/>
      <c r="C61" s="72"/>
      <c r="D61" s="81"/>
      <c r="E61" s="159" t="str">
        <f t="shared" ref="E61:E62" si="5">IF(C61&gt;0,C61*D61,"")</f>
        <v/>
      </c>
      <c r="F61" s="102"/>
      <c r="G61" s="13"/>
      <c r="H61" s="2"/>
      <c r="I61" s="2"/>
      <c r="J61" s="2"/>
      <c r="K61" s="12"/>
      <c r="L61" s="12"/>
      <c r="M61" s="12"/>
    </row>
    <row r="62" spans="1:13">
      <c r="A62" s="56"/>
      <c r="B62" s="59"/>
      <c r="C62" s="72"/>
      <c r="D62" s="81"/>
      <c r="E62" s="159" t="str">
        <f t="shared" si="5"/>
        <v/>
      </c>
      <c r="F62" s="102"/>
      <c r="G62" s="13"/>
      <c r="H62" s="2"/>
      <c r="I62" s="2"/>
      <c r="J62" s="2"/>
      <c r="K62" s="12"/>
      <c r="L62" s="12"/>
      <c r="M62" s="12"/>
    </row>
    <row r="63" spans="1:13" ht="15.75" thickBot="1">
      <c r="A63" s="99"/>
      <c r="B63" s="100"/>
      <c r="C63" s="101"/>
      <c r="D63" s="101"/>
      <c r="E63" s="101"/>
      <c r="F63" s="102"/>
      <c r="G63" s="13"/>
      <c r="H63" s="2"/>
      <c r="I63" s="2"/>
      <c r="J63" s="2"/>
      <c r="K63" s="12"/>
      <c r="L63" s="12"/>
      <c r="M63" s="12"/>
    </row>
    <row r="64" spans="1:13" ht="30" customHeight="1" thickBot="1">
      <c r="A64" s="259" t="s">
        <v>89</v>
      </c>
      <c r="B64" s="260"/>
      <c r="C64" s="260"/>
      <c r="D64" s="260"/>
      <c r="E64" s="261"/>
      <c r="F64" s="102"/>
      <c r="G64" s="13"/>
      <c r="H64" s="2"/>
      <c r="I64" s="2"/>
      <c r="J64" s="2"/>
      <c r="K64" s="12"/>
      <c r="L64" s="12"/>
      <c r="M64" s="12"/>
    </row>
    <row r="65" spans="1:13" ht="45">
      <c r="A65" s="107" t="s">
        <v>90</v>
      </c>
      <c r="B65" s="108" t="s">
        <v>25</v>
      </c>
      <c r="C65" s="108" t="s">
        <v>26</v>
      </c>
      <c r="D65" s="109" t="s">
        <v>91</v>
      </c>
      <c r="E65" s="109" t="s">
        <v>28</v>
      </c>
      <c r="F65" s="102"/>
      <c r="G65" s="13"/>
      <c r="H65" s="2"/>
      <c r="I65" s="2"/>
      <c r="J65" s="2"/>
      <c r="K65" s="123" t="s">
        <v>31</v>
      </c>
      <c r="L65" s="123" t="s">
        <v>32</v>
      </c>
      <c r="M65" s="123" t="s">
        <v>33</v>
      </c>
    </row>
    <row r="66" spans="1:13">
      <c r="A66" s="232" t="s">
        <v>92</v>
      </c>
      <c r="B66" s="118" t="s">
        <v>93</v>
      </c>
      <c r="C66" s="69"/>
      <c r="D66" s="139" t="str">
        <f t="shared" ref="D66:D104" si="6">IF(C66&gt;0,K66,"")</f>
        <v/>
      </c>
      <c r="E66" s="161" t="str">
        <f t="shared" ref="E66:E104" si="7">IF(C66&gt;0,C66*K66,"")</f>
        <v/>
      </c>
      <c r="F66" s="102"/>
      <c r="G66" s="13"/>
      <c r="H66" s="2"/>
      <c r="I66" s="2"/>
      <c r="J66" s="2"/>
      <c r="K66" s="82">
        <v>0.16128519402446861</v>
      </c>
      <c r="L66" s="11" t="s">
        <v>94</v>
      </c>
      <c r="M66" s="11" t="s">
        <v>95</v>
      </c>
    </row>
    <row r="67" spans="1:13">
      <c r="A67" s="130" t="s">
        <v>96</v>
      </c>
      <c r="B67" s="127" t="s">
        <v>93</v>
      </c>
      <c r="C67" s="69"/>
      <c r="D67" s="139" t="str">
        <f t="shared" si="6"/>
        <v/>
      </c>
      <c r="E67" s="161" t="str">
        <f t="shared" si="7"/>
        <v/>
      </c>
      <c r="F67" s="102"/>
      <c r="G67" s="13"/>
      <c r="H67" s="2"/>
      <c r="I67" s="2"/>
      <c r="J67" s="2"/>
      <c r="K67" s="82">
        <v>0.14853506635344171</v>
      </c>
      <c r="L67" s="11" t="s">
        <v>94</v>
      </c>
      <c r="M67" s="11" t="s">
        <v>95</v>
      </c>
    </row>
    <row r="68" spans="1:13">
      <c r="A68" s="130" t="s">
        <v>97</v>
      </c>
      <c r="B68" s="127" t="s">
        <v>93</v>
      </c>
      <c r="C68" s="69"/>
      <c r="D68" s="139" t="str">
        <f t="shared" si="6"/>
        <v/>
      </c>
      <c r="E68" s="161" t="str">
        <f t="shared" si="7"/>
        <v/>
      </c>
      <c r="F68" s="102"/>
      <c r="G68" s="13"/>
      <c r="H68" s="2"/>
      <c r="I68" s="2"/>
      <c r="J68" s="2"/>
      <c r="K68" s="82">
        <v>0.19518650751368674</v>
      </c>
      <c r="L68" s="11" t="s">
        <v>94</v>
      </c>
      <c r="M68" s="11" t="s">
        <v>95</v>
      </c>
    </row>
    <row r="69" spans="1:13">
      <c r="A69" s="130" t="s">
        <v>98</v>
      </c>
      <c r="B69" s="127" t="s">
        <v>93</v>
      </c>
      <c r="C69" s="69"/>
      <c r="D69" s="139" t="str">
        <f t="shared" si="6"/>
        <v/>
      </c>
      <c r="E69" s="161" t="str">
        <f t="shared" si="7"/>
        <v/>
      </c>
      <c r="F69" s="102"/>
      <c r="G69" s="13"/>
      <c r="H69" s="2"/>
      <c r="I69" s="2"/>
      <c r="J69" s="2"/>
      <c r="K69" s="82">
        <v>0.34316126921456724</v>
      </c>
      <c r="L69" s="11" t="s">
        <v>94</v>
      </c>
      <c r="M69" s="11" t="s">
        <v>95</v>
      </c>
    </row>
    <row r="70" spans="1:13">
      <c r="A70" s="232" t="s">
        <v>99</v>
      </c>
      <c r="B70" s="118" t="s">
        <v>93</v>
      </c>
      <c r="C70" s="69"/>
      <c r="D70" s="139" t="str">
        <f t="shared" si="6"/>
        <v/>
      </c>
      <c r="E70" s="161" t="str">
        <f t="shared" si="7"/>
        <v/>
      </c>
      <c r="F70" s="102"/>
      <c r="G70" s="13"/>
      <c r="H70" s="2"/>
      <c r="I70" s="2"/>
      <c r="J70" s="2"/>
      <c r="K70" s="82">
        <v>0.1366597289446945</v>
      </c>
      <c r="L70" s="11" t="s">
        <v>94</v>
      </c>
      <c r="M70" s="11" t="s">
        <v>95</v>
      </c>
    </row>
    <row r="71" spans="1:13">
      <c r="A71" s="130" t="s">
        <v>96</v>
      </c>
      <c r="B71" s="127" t="s">
        <v>93</v>
      </c>
      <c r="C71" s="69"/>
      <c r="D71" s="139" t="str">
        <f t="shared" si="6"/>
        <v/>
      </c>
      <c r="E71" s="161" t="str">
        <f t="shared" si="7"/>
        <v/>
      </c>
      <c r="F71" s="102"/>
      <c r="G71" s="13"/>
      <c r="H71" s="2"/>
      <c r="I71" s="2"/>
      <c r="J71" s="2"/>
      <c r="K71" s="82">
        <v>0.13357750023099899</v>
      </c>
      <c r="L71" s="11" t="s">
        <v>94</v>
      </c>
      <c r="M71" s="11" t="s">
        <v>95</v>
      </c>
    </row>
    <row r="72" spans="1:13">
      <c r="A72" s="130" t="s">
        <v>97</v>
      </c>
      <c r="B72" s="127" t="s">
        <v>93</v>
      </c>
      <c r="C72" s="69"/>
      <c r="D72" s="139" t="str">
        <f t="shared" si="6"/>
        <v/>
      </c>
      <c r="E72" s="161" t="str">
        <f t="shared" si="7"/>
        <v/>
      </c>
      <c r="F72" s="102"/>
      <c r="G72" s="13"/>
      <c r="H72" s="2"/>
      <c r="I72" s="2"/>
      <c r="J72" s="2"/>
      <c r="K72" s="82">
        <v>0.13781725010789272</v>
      </c>
      <c r="L72" s="11" t="s">
        <v>94</v>
      </c>
      <c r="M72" s="11" t="s">
        <v>95</v>
      </c>
    </row>
    <row r="73" spans="1:13">
      <c r="A73" s="130" t="s">
        <v>98</v>
      </c>
      <c r="B73" s="127" t="s">
        <v>93</v>
      </c>
      <c r="C73" s="69"/>
      <c r="D73" s="139" t="str">
        <f t="shared" si="6"/>
        <v/>
      </c>
      <c r="E73" s="161" t="str">
        <f t="shared" si="7"/>
        <v/>
      </c>
      <c r="F73" s="102"/>
      <c r="G73" s="13"/>
      <c r="H73" s="2"/>
      <c r="I73" s="2"/>
      <c r="J73" s="2"/>
      <c r="K73" s="82">
        <v>0.14553402784335914</v>
      </c>
      <c r="L73" s="11" t="s">
        <v>94</v>
      </c>
      <c r="M73" s="11" t="s">
        <v>95</v>
      </c>
    </row>
    <row r="74" spans="1:13">
      <c r="A74" s="232" t="s">
        <v>100</v>
      </c>
      <c r="B74" s="118" t="s">
        <v>93</v>
      </c>
      <c r="C74" s="69"/>
      <c r="D74" s="139" t="str">
        <f t="shared" si="6"/>
        <v/>
      </c>
      <c r="E74" s="161" t="str">
        <f t="shared" si="7"/>
        <v/>
      </c>
      <c r="F74" s="102"/>
      <c r="G74" s="13"/>
      <c r="H74" s="2"/>
      <c r="I74" s="2"/>
      <c r="J74" s="2"/>
      <c r="K74" s="82">
        <v>0.12781642001717203</v>
      </c>
      <c r="L74" s="11" t="s">
        <v>94</v>
      </c>
      <c r="M74" s="11" t="s">
        <v>95</v>
      </c>
    </row>
    <row r="75" spans="1:13">
      <c r="A75" s="130" t="s">
        <v>96</v>
      </c>
      <c r="B75" s="127" t="s">
        <v>93</v>
      </c>
      <c r="C75" s="69"/>
      <c r="D75" s="139" t="str">
        <f t="shared" si="6"/>
        <v/>
      </c>
      <c r="E75" s="161" t="str">
        <f t="shared" si="7"/>
        <v/>
      </c>
      <c r="F75" s="102"/>
      <c r="G75" s="13"/>
      <c r="H75" s="2"/>
      <c r="I75" s="2"/>
      <c r="J75" s="2"/>
      <c r="K75" s="82">
        <v>0.11836078708748123</v>
      </c>
      <c r="L75" s="11" t="s">
        <v>94</v>
      </c>
      <c r="M75" s="11" t="s">
        <v>95</v>
      </c>
    </row>
    <row r="76" spans="1:13">
      <c r="A76" s="130" t="s">
        <v>97</v>
      </c>
      <c r="B76" s="127" t="s">
        <v>93</v>
      </c>
      <c r="C76" s="69"/>
      <c r="D76" s="139" t="str">
        <f t="shared" si="6"/>
        <v/>
      </c>
      <c r="E76" s="161" t="str">
        <f t="shared" si="7"/>
        <v/>
      </c>
      <c r="F76" s="102"/>
      <c r="G76" s="13"/>
      <c r="H76" s="2"/>
      <c r="I76" s="2"/>
      <c r="J76" s="2"/>
      <c r="K76" s="82">
        <v>0.13209617562163056</v>
      </c>
      <c r="L76" s="11" t="s">
        <v>94</v>
      </c>
      <c r="M76" s="11" t="s">
        <v>95</v>
      </c>
    </row>
    <row r="77" spans="1:13">
      <c r="A77" s="130" t="s">
        <v>98</v>
      </c>
      <c r="B77" s="127" t="s">
        <v>93</v>
      </c>
      <c r="C77" s="69"/>
      <c r="D77" s="139" t="str">
        <f t="shared" si="6"/>
        <v/>
      </c>
      <c r="E77" s="161" t="str">
        <f t="shared" si="7"/>
        <v/>
      </c>
      <c r="F77" s="102"/>
      <c r="G77" s="13"/>
      <c r="H77" s="2"/>
      <c r="I77" s="2"/>
      <c r="J77" s="2"/>
      <c r="K77" s="82">
        <v>0.15835255149821104</v>
      </c>
      <c r="L77" s="11" t="s">
        <v>94</v>
      </c>
      <c r="M77" s="11" t="s">
        <v>95</v>
      </c>
    </row>
    <row r="78" spans="1:13">
      <c r="A78" s="232" t="s">
        <v>101</v>
      </c>
      <c r="B78" s="118" t="s">
        <v>93</v>
      </c>
      <c r="C78" s="69"/>
      <c r="D78" s="139" t="str">
        <f t="shared" si="6"/>
        <v/>
      </c>
      <c r="E78" s="161" t="str">
        <f t="shared" si="7"/>
        <v/>
      </c>
      <c r="F78" s="102"/>
      <c r="G78" s="13"/>
      <c r="H78" s="2"/>
      <c r="I78" s="2"/>
      <c r="J78" s="2"/>
      <c r="K78" s="82">
        <v>0.16685333139111685</v>
      </c>
      <c r="L78" s="11" t="s">
        <v>94</v>
      </c>
      <c r="M78" s="11" t="s">
        <v>95</v>
      </c>
    </row>
    <row r="79" spans="1:13">
      <c r="A79" s="130" t="s">
        <v>96</v>
      </c>
      <c r="B79" s="127" t="s">
        <v>93</v>
      </c>
      <c r="C79" s="69"/>
      <c r="D79" s="139" t="str">
        <f t="shared" si="6"/>
        <v/>
      </c>
      <c r="E79" s="161" t="str">
        <f t="shared" si="7"/>
        <v/>
      </c>
      <c r="F79" s="102"/>
      <c r="G79" s="13"/>
      <c r="H79" s="2"/>
      <c r="I79" s="2"/>
      <c r="J79" s="2"/>
      <c r="K79" s="82">
        <v>0.17793597287537069</v>
      </c>
      <c r="L79" s="11" t="s">
        <v>94</v>
      </c>
      <c r="M79" s="11" t="s">
        <v>95</v>
      </c>
    </row>
    <row r="80" spans="1:13">
      <c r="A80" s="130" t="s">
        <v>97</v>
      </c>
      <c r="B80" s="127" t="s">
        <v>93</v>
      </c>
      <c r="C80" s="69"/>
      <c r="D80" s="139" t="str">
        <f t="shared" si="6"/>
        <v/>
      </c>
      <c r="E80" s="161" t="str">
        <f t="shared" si="7"/>
        <v/>
      </c>
      <c r="F80" s="102"/>
      <c r="G80" s="13"/>
      <c r="H80" s="2"/>
      <c r="I80" s="2"/>
      <c r="J80" s="2"/>
      <c r="K80" s="82">
        <v>0.15517044329757887</v>
      </c>
      <c r="L80" s="11" t="s">
        <v>94</v>
      </c>
      <c r="M80" s="11" t="s">
        <v>95</v>
      </c>
    </row>
    <row r="81" spans="1:13">
      <c r="A81" s="130" t="s">
        <v>98</v>
      </c>
      <c r="B81" s="127" t="s">
        <v>93</v>
      </c>
      <c r="C81" s="69"/>
      <c r="D81" s="139" t="str">
        <f t="shared" si="6"/>
        <v/>
      </c>
      <c r="E81" s="161" t="str">
        <f t="shared" si="7"/>
        <v/>
      </c>
      <c r="F81" s="102"/>
      <c r="G81" s="13"/>
      <c r="H81" s="2"/>
      <c r="I81" s="2"/>
      <c r="J81" s="2"/>
      <c r="K81" s="82">
        <v>0.23002294366682896</v>
      </c>
      <c r="L81" s="11" t="s">
        <v>94</v>
      </c>
      <c r="M81" s="11" t="s">
        <v>95</v>
      </c>
    </row>
    <row r="82" spans="1:13">
      <c r="A82" s="232" t="s">
        <v>102</v>
      </c>
      <c r="B82" s="118" t="s">
        <v>93</v>
      </c>
      <c r="C82" s="69"/>
      <c r="D82" s="139" t="str">
        <f t="shared" si="6"/>
        <v/>
      </c>
      <c r="E82" s="161" t="str">
        <f t="shared" si="7"/>
        <v/>
      </c>
      <c r="F82" s="102"/>
      <c r="G82" s="13"/>
      <c r="H82" s="2"/>
      <c r="I82" s="2"/>
      <c r="J82" s="2"/>
      <c r="K82" s="82">
        <v>0.14082152354012839</v>
      </c>
      <c r="L82" s="11" t="s">
        <v>94</v>
      </c>
      <c r="M82" s="11" t="s">
        <v>95</v>
      </c>
    </row>
    <row r="83" spans="1:13">
      <c r="A83" s="130" t="s">
        <v>98</v>
      </c>
      <c r="B83" s="127" t="s">
        <v>93</v>
      </c>
      <c r="C83" s="69"/>
      <c r="D83" s="139" t="str">
        <f t="shared" si="6"/>
        <v/>
      </c>
      <c r="E83" s="161" t="str">
        <f t="shared" si="7"/>
        <v/>
      </c>
      <c r="F83" s="102"/>
      <c r="G83" s="13"/>
      <c r="H83" s="2"/>
      <c r="I83" s="2"/>
      <c r="J83" s="2"/>
      <c r="K83" s="82">
        <v>0.13761327500000001</v>
      </c>
      <c r="L83" s="11" t="s">
        <v>94</v>
      </c>
      <c r="M83" s="11" t="s">
        <v>95</v>
      </c>
    </row>
    <row r="84" spans="1:13">
      <c r="A84" s="232" t="s">
        <v>103</v>
      </c>
      <c r="B84" s="118" t="s">
        <v>93</v>
      </c>
      <c r="C84" s="69"/>
      <c r="D84" s="139" t="str">
        <f t="shared" si="6"/>
        <v/>
      </c>
      <c r="E84" s="161" t="str">
        <f t="shared" si="7"/>
        <v/>
      </c>
      <c r="F84" s="102"/>
      <c r="G84" s="13"/>
      <c r="H84" s="2"/>
      <c r="I84" s="2"/>
      <c r="J84" s="2"/>
      <c r="K84" s="82">
        <v>0.15625288123887746</v>
      </c>
      <c r="L84" s="11" t="s">
        <v>94</v>
      </c>
      <c r="M84" s="11" t="s">
        <v>95</v>
      </c>
    </row>
    <row r="85" spans="1:13">
      <c r="A85" s="130" t="s">
        <v>96</v>
      </c>
      <c r="B85" s="127" t="s">
        <v>93</v>
      </c>
      <c r="C85" s="69"/>
      <c r="D85" s="139" t="str">
        <f t="shared" si="6"/>
        <v/>
      </c>
      <c r="E85" s="161" t="str">
        <f t="shared" si="7"/>
        <v/>
      </c>
      <c r="F85" s="102"/>
      <c r="G85" s="13"/>
      <c r="H85" s="2"/>
      <c r="I85" s="2"/>
      <c r="J85" s="2"/>
      <c r="K85" s="82">
        <v>0.17044207778252124</v>
      </c>
      <c r="L85" s="11" t="s">
        <v>94</v>
      </c>
      <c r="M85" s="11" t="s">
        <v>95</v>
      </c>
    </row>
    <row r="86" spans="1:13">
      <c r="A86" s="130" t="s">
        <v>97</v>
      </c>
      <c r="B86" s="127" t="s">
        <v>93</v>
      </c>
      <c r="C86" s="69"/>
      <c r="D86" s="139" t="str">
        <f t="shared" si="6"/>
        <v/>
      </c>
      <c r="E86" s="161" t="str">
        <f t="shared" si="7"/>
        <v/>
      </c>
      <c r="F86" s="102"/>
      <c r="G86" s="13"/>
      <c r="H86" s="2"/>
      <c r="I86" s="2"/>
      <c r="J86" s="2"/>
      <c r="K86" s="82">
        <v>0.17044207778252127</v>
      </c>
      <c r="L86" s="11" t="s">
        <v>94</v>
      </c>
      <c r="M86" s="11" t="s">
        <v>95</v>
      </c>
    </row>
    <row r="87" spans="1:13">
      <c r="A87" s="130" t="s">
        <v>98</v>
      </c>
      <c r="B87" s="127" t="s">
        <v>93</v>
      </c>
      <c r="C87" s="69"/>
      <c r="D87" s="139" t="str">
        <f t="shared" si="6"/>
        <v/>
      </c>
      <c r="E87" s="161" t="str">
        <f t="shared" si="7"/>
        <v/>
      </c>
      <c r="F87" s="102"/>
      <c r="G87" s="13"/>
      <c r="H87" s="2"/>
      <c r="I87" s="2"/>
      <c r="J87" s="2"/>
      <c r="K87" s="82">
        <v>0.18311802477578931</v>
      </c>
      <c r="L87" s="11" t="s">
        <v>94</v>
      </c>
      <c r="M87" s="11" t="s">
        <v>95</v>
      </c>
    </row>
    <row r="88" spans="1:13">
      <c r="A88" s="232" t="s">
        <v>104</v>
      </c>
      <c r="B88" s="118" t="s">
        <v>93</v>
      </c>
      <c r="C88" s="69"/>
      <c r="D88" s="139" t="str">
        <f t="shared" si="6"/>
        <v/>
      </c>
      <c r="E88" s="161" t="str">
        <f t="shared" si="7"/>
        <v/>
      </c>
      <c r="F88" s="102"/>
      <c r="G88" s="13"/>
      <c r="H88" s="2"/>
      <c r="I88" s="2"/>
      <c r="J88" s="2"/>
      <c r="K88" s="82">
        <v>0.1263068794154755</v>
      </c>
      <c r="L88" s="11" t="s">
        <v>94</v>
      </c>
      <c r="M88" s="11" t="s">
        <v>95</v>
      </c>
    </row>
    <row r="89" spans="1:13">
      <c r="A89" s="130" t="s">
        <v>96</v>
      </c>
      <c r="B89" s="127" t="s">
        <v>93</v>
      </c>
      <c r="C89" s="69"/>
      <c r="D89" s="139" t="str">
        <f t="shared" si="6"/>
        <v/>
      </c>
      <c r="E89" s="161" t="str">
        <f t="shared" si="7"/>
        <v/>
      </c>
      <c r="F89" s="102"/>
      <c r="G89" s="13"/>
      <c r="H89" s="2"/>
      <c r="I89" s="2"/>
      <c r="J89" s="2"/>
      <c r="K89" s="82">
        <v>0.12335205668476334</v>
      </c>
      <c r="L89" s="11" t="s">
        <v>94</v>
      </c>
      <c r="M89" s="11" t="s">
        <v>95</v>
      </c>
    </row>
    <row r="90" spans="1:13">
      <c r="A90" s="130" t="s">
        <v>97</v>
      </c>
      <c r="B90" s="127" t="s">
        <v>93</v>
      </c>
      <c r="C90" s="69"/>
      <c r="D90" s="139" t="str">
        <f t="shared" si="6"/>
        <v/>
      </c>
      <c r="E90" s="161" t="str">
        <f t="shared" si="7"/>
        <v/>
      </c>
      <c r="F90" s="102"/>
      <c r="G90" s="13"/>
      <c r="H90" s="2"/>
      <c r="I90" s="2"/>
      <c r="J90" s="2"/>
      <c r="K90" s="82">
        <v>0.12335205668476333</v>
      </c>
      <c r="L90" s="11" t="s">
        <v>94</v>
      </c>
      <c r="M90" s="11" t="s">
        <v>95</v>
      </c>
    </row>
    <row r="91" spans="1:13">
      <c r="A91" s="130" t="s">
        <v>98</v>
      </c>
      <c r="B91" s="127" t="s">
        <v>93</v>
      </c>
      <c r="C91" s="69"/>
      <c r="D91" s="139" t="str">
        <f t="shared" si="6"/>
        <v/>
      </c>
      <c r="E91" s="161" t="str">
        <f t="shared" si="7"/>
        <v/>
      </c>
      <c r="F91" s="102"/>
      <c r="G91" s="13"/>
      <c r="H91" s="2"/>
      <c r="I91" s="2"/>
      <c r="J91" s="2"/>
      <c r="K91" s="82">
        <v>0.12335205668476333</v>
      </c>
      <c r="L91" s="11" t="s">
        <v>94</v>
      </c>
      <c r="M91" s="11" t="s">
        <v>95</v>
      </c>
    </row>
    <row r="92" spans="1:13">
      <c r="A92" s="232" t="s">
        <v>105</v>
      </c>
      <c r="B92" s="118" t="s">
        <v>93</v>
      </c>
      <c r="C92" s="69"/>
      <c r="D92" s="139" t="str">
        <f t="shared" si="6"/>
        <v/>
      </c>
      <c r="E92" s="161" t="str">
        <f t="shared" si="7"/>
        <v/>
      </c>
      <c r="F92" s="102"/>
      <c r="G92" s="13"/>
      <c r="H92" s="2"/>
      <c r="I92" s="2"/>
      <c r="J92" s="2"/>
      <c r="K92" s="82">
        <v>6.0732000000000001E-2</v>
      </c>
      <c r="L92" s="11" t="s">
        <v>94</v>
      </c>
      <c r="M92" s="11" t="s">
        <v>106</v>
      </c>
    </row>
    <row r="93" spans="1:13">
      <c r="A93" s="130" t="s">
        <v>96</v>
      </c>
      <c r="B93" s="127" t="s">
        <v>93</v>
      </c>
      <c r="C93" s="69"/>
      <c r="D93" s="139" t="str">
        <f t="shared" si="6"/>
        <v/>
      </c>
      <c r="E93" s="161" t="str">
        <f t="shared" si="7"/>
        <v/>
      </c>
      <c r="F93" s="102"/>
      <c r="G93" s="13"/>
      <c r="H93" s="2"/>
      <c r="I93" s="2"/>
      <c r="J93" s="2"/>
      <c r="K93" s="82">
        <f>0.14*0.2892</f>
        <v>4.0488000000000003E-2</v>
      </c>
      <c r="L93" s="11" t="s">
        <v>94</v>
      </c>
      <c r="M93" s="11" t="s">
        <v>107</v>
      </c>
    </row>
    <row r="94" spans="1:13">
      <c r="A94" s="130" t="s">
        <v>97</v>
      </c>
      <c r="B94" s="127" t="s">
        <v>93</v>
      </c>
      <c r="C94" s="69"/>
      <c r="D94" s="139" t="str">
        <f t="shared" si="6"/>
        <v/>
      </c>
      <c r="E94" s="161" t="str">
        <f t="shared" si="7"/>
        <v/>
      </c>
      <c r="F94" s="102"/>
      <c r="G94" s="13"/>
      <c r="H94" s="2"/>
      <c r="I94" s="2"/>
      <c r="J94" s="2"/>
      <c r="K94" s="82">
        <f>0.19*0.2892</f>
        <v>5.4948000000000004E-2</v>
      </c>
      <c r="L94" s="11" t="s">
        <v>94</v>
      </c>
      <c r="M94" s="11" t="s">
        <v>108</v>
      </c>
    </row>
    <row r="95" spans="1:13">
      <c r="A95" s="130" t="s">
        <v>98</v>
      </c>
      <c r="B95" s="127" t="s">
        <v>93</v>
      </c>
      <c r="C95" s="69"/>
      <c r="D95" s="139" t="str">
        <f t="shared" si="6"/>
        <v/>
      </c>
      <c r="E95" s="161" t="str">
        <f t="shared" si="7"/>
        <v/>
      </c>
      <c r="F95" s="102"/>
      <c r="G95" s="13"/>
      <c r="H95" s="2"/>
      <c r="I95" s="2"/>
      <c r="J95" s="2"/>
      <c r="K95" s="82">
        <f>0.24*0.2892</f>
        <v>6.9407999999999997E-2</v>
      </c>
      <c r="L95" s="11" t="s">
        <v>94</v>
      </c>
      <c r="M95" s="11" t="s">
        <v>109</v>
      </c>
    </row>
    <row r="96" spans="1:13">
      <c r="A96" s="232" t="s">
        <v>110</v>
      </c>
      <c r="B96" s="118" t="s">
        <v>93</v>
      </c>
      <c r="C96" s="69"/>
      <c r="D96" s="139" t="str">
        <f t="shared" si="6"/>
        <v/>
      </c>
      <c r="E96" s="161" t="str">
        <f t="shared" si="7"/>
        <v/>
      </c>
      <c r="F96" s="102"/>
      <c r="G96" s="13"/>
      <c r="H96" s="2"/>
      <c r="I96" s="2"/>
      <c r="J96" s="2"/>
      <c r="K96" s="82">
        <v>0.24689250379216049</v>
      </c>
      <c r="L96" s="11" t="s">
        <v>94</v>
      </c>
      <c r="M96" s="11" t="s">
        <v>95</v>
      </c>
    </row>
    <row r="97" spans="1:13">
      <c r="A97" s="133" t="s">
        <v>111</v>
      </c>
      <c r="B97" s="118" t="s">
        <v>93</v>
      </c>
      <c r="C97" s="69"/>
      <c r="D97" s="139" t="str">
        <f t="shared" si="6"/>
        <v/>
      </c>
      <c r="E97" s="161" t="str">
        <f t="shared" si="7"/>
        <v/>
      </c>
      <c r="F97" s="102"/>
      <c r="G97" s="13"/>
      <c r="H97" s="2"/>
      <c r="I97" s="262"/>
      <c r="J97" s="7"/>
      <c r="K97" s="82">
        <v>0.2432207431090368</v>
      </c>
      <c r="L97" s="11" t="s">
        <v>94</v>
      </c>
      <c r="M97" s="11" t="s">
        <v>95</v>
      </c>
    </row>
    <row r="98" spans="1:13">
      <c r="A98" s="133" t="s">
        <v>112</v>
      </c>
      <c r="B98" s="118" t="s">
        <v>93</v>
      </c>
      <c r="C98" s="69"/>
      <c r="D98" s="139" t="str">
        <f t="shared" si="6"/>
        <v/>
      </c>
      <c r="E98" s="161" t="str">
        <f t="shared" si="7"/>
        <v/>
      </c>
      <c r="F98" s="102"/>
      <c r="G98" s="13"/>
      <c r="H98" s="2"/>
      <c r="I98" s="262"/>
      <c r="J98" s="7"/>
      <c r="K98" s="82">
        <v>0.32611790765373599</v>
      </c>
      <c r="L98" s="11" t="s">
        <v>94</v>
      </c>
      <c r="M98" s="11" t="s">
        <v>95</v>
      </c>
    </row>
    <row r="99" spans="1:13">
      <c r="A99" s="133" t="s">
        <v>113</v>
      </c>
      <c r="B99" s="118" t="s">
        <v>93</v>
      </c>
      <c r="C99" s="69"/>
      <c r="D99" s="139" t="str">
        <f t="shared" si="6"/>
        <v/>
      </c>
      <c r="E99" s="161" t="str">
        <f t="shared" si="7"/>
        <v/>
      </c>
      <c r="F99" s="102"/>
      <c r="G99" s="13"/>
      <c r="H99" s="2"/>
      <c r="I99" s="262"/>
      <c r="J99" s="7"/>
      <c r="K99" s="82">
        <v>0.66840161917946761</v>
      </c>
      <c r="L99" s="11" t="s">
        <v>94</v>
      </c>
      <c r="M99" s="11" t="s">
        <v>95</v>
      </c>
    </row>
    <row r="100" spans="1:13">
      <c r="A100" s="133" t="s">
        <v>114</v>
      </c>
      <c r="B100" s="118" t="s">
        <v>93</v>
      </c>
      <c r="C100" s="69"/>
      <c r="D100" s="139" t="str">
        <f t="shared" si="6"/>
        <v/>
      </c>
      <c r="E100" s="161" t="str">
        <f t="shared" si="7"/>
        <v/>
      </c>
      <c r="F100" s="102"/>
      <c r="G100" s="13"/>
      <c r="H100" s="2"/>
      <c r="I100" s="7"/>
      <c r="J100" s="7"/>
      <c r="K100" s="82">
        <v>0.70280722585073518</v>
      </c>
      <c r="L100" s="11" t="s">
        <v>94</v>
      </c>
      <c r="M100" s="11" t="s">
        <v>95</v>
      </c>
    </row>
    <row r="101" spans="1:13">
      <c r="A101" s="133" t="s">
        <v>115</v>
      </c>
      <c r="B101" s="118" t="s">
        <v>93</v>
      </c>
      <c r="C101" s="69"/>
      <c r="D101" s="139" t="str">
        <f t="shared" si="6"/>
        <v/>
      </c>
      <c r="E101" s="161" t="str">
        <f t="shared" si="7"/>
        <v/>
      </c>
      <c r="F101" s="102"/>
      <c r="G101" s="13"/>
      <c r="H101" s="2"/>
      <c r="I101" s="7"/>
      <c r="J101" s="7"/>
      <c r="K101" s="82">
        <v>0.68108354164497065</v>
      </c>
      <c r="L101" s="11" t="s">
        <v>94</v>
      </c>
      <c r="M101" s="11" t="s">
        <v>95</v>
      </c>
    </row>
    <row r="102" spans="1:13">
      <c r="A102" s="133" t="s">
        <v>116</v>
      </c>
      <c r="B102" s="118" t="s">
        <v>93</v>
      </c>
      <c r="C102" s="69"/>
      <c r="D102" s="139" t="str">
        <f t="shared" si="6"/>
        <v/>
      </c>
      <c r="E102" s="161" t="str">
        <f t="shared" si="7"/>
        <v/>
      </c>
      <c r="F102" s="102"/>
      <c r="G102" s="13"/>
      <c r="H102" s="2"/>
      <c r="I102" s="7"/>
      <c r="J102" s="7"/>
      <c r="K102" s="82">
        <v>1.0968327159905724</v>
      </c>
      <c r="L102" s="11" t="s">
        <v>94</v>
      </c>
      <c r="M102" s="11" t="s">
        <v>95</v>
      </c>
    </row>
    <row r="103" spans="1:13">
      <c r="A103" s="133" t="s">
        <v>117</v>
      </c>
      <c r="B103" s="118" t="s">
        <v>93</v>
      </c>
      <c r="C103" s="69"/>
      <c r="D103" s="139" t="str">
        <f t="shared" si="6"/>
        <v/>
      </c>
      <c r="E103" s="161" t="str">
        <f t="shared" si="7"/>
        <v/>
      </c>
      <c r="F103" s="102"/>
      <c r="G103" s="13"/>
      <c r="H103" s="2"/>
      <c r="I103" s="7"/>
      <c r="J103" s="7"/>
      <c r="K103" s="82">
        <v>5.4879940781715111E-2</v>
      </c>
      <c r="L103" s="11" t="s">
        <v>94</v>
      </c>
      <c r="M103" s="11" t="s">
        <v>95</v>
      </c>
    </row>
    <row r="104" spans="1:13">
      <c r="A104" s="133" t="s">
        <v>118</v>
      </c>
      <c r="B104" s="118" t="s">
        <v>93</v>
      </c>
      <c r="C104" s="69"/>
      <c r="D104" s="139" t="str">
        <f t="shared" si="6"/>
        <v/>
      </c>
      <c r="E104" s="161" t="str">
        <f t="shared" si="7"/>
        <v/>
      </c>
      <c r="F104" s="102"/>
      <c r="G104" s="13"/>
      <c r="H104" s="2"/>
      <c r="I104" s="7"/>
      <c r="J104" s="7"/>
      <c r="K104" s="82">
        <v>0.10707946329412216</v>
      </c>
      <c r="L104" s="11" t="s">
        <v>94</v>
      </c>
      <c r="M104" s="11" t="s">
        <v>95</v>
      </c>
    </row>
    <row r="105" spans="1:13">
      <c r="A105" s="110" t="s">
        <v>50</v>
      </c>
      <c r="B105" s="131"/>
      <c r="C105" s="132"/>
      <c r="D105" s="129"/>
      <c r="E105" s="158"/>
      <c r="F105" s="102"/>
      <c r="G105" s="13"/>
      <c r="H105" s="2"/>
      <c r="I105" s="2"/>
      <c r="J105" s="2"/>
      <c r="K105" s="12"/>
      <c r="L105" s="12"/>
      <c r="M105" s="12"/>
    </row>
    <row r="106" spans="1:13">
      <c r="A106" s="57"/>
      <c r="B106" s="118" t="s">
        <v>93</v>
      </c>
      <c r="C106" s="70"/>
      <c r="D106" s="83"/>
      <c r="E106" s="161" t="str">
        <f>IF(C106&gt;0,C106*D106,"")</f>
        <v/>
      </c>
      <c r="F106" s="102"/>
      <c r="G106" s="13"/>
      <c r="H106" s="2"/>
      <c r="I106" s="2"/>
      <c r="J106" s="2"/>
      <c r="K106" s="12"/>
      <c r="L106" s="12"/>
      <c r="M106" s="12"/>
    </row>
    <row r="107" spans="1:13">
      <c r="A107" s="136"/>
      <c r="B107" s="137"/>
      <c r="C107" s="138"/>
      <c r="D107" s="138"/>
      <c r="E107" s="138"/>
      <c r="F107" s="135"/>
      <c r="G107" s="13"/>
      <c r="H107" s="2"/>
      <c r="I107" s="2"/>
      <c r="J107" s="2"/>
      <c r="K107" s="12"/>
      <c r="L107" s="12"/>
      <c r="M107" s="12"/>
    </row>
    <row r="108" spans="1:13">
      <c r="A108" s="13"/>
      <c r="B108" s="14"/>
      <c r="C108" s="13"/>
      <c r="D108" s="13"/>
      <c r="E108" s="13"/>
      <c r="F108" s="13"/>
      <c r="G108" s="13"/>
      <c r="H108" s="2"/>
      <c r="I108" s="2"/>
      <c r="J108" s="2"/>
      <c r="K108" s="12"/>
      <c r="L108" s="12"/>
      <c r="M108" s="12"/>
    </row>
    <row r="109" spans="1:13">
      <c r="A109" s="13"/>
      <c r="B109" s="14"/>
      <c r="C109" s="13"/>
      <c r="D109" s="13"/>
      <c r="E109" s="13"/>
      <c r="F109" s="13"/>
      <c r="G109" s="13"/>
      <c r="H109" s="2"/>
      <c r="I109" s="2"/>
      <c r="J109" s="2"/>
      <c r="K109" s="12"/>
      <c r="L109" s="12"/>
      <c r="M109" s="12"/>
    </row>
    <row r="110" spans="1:13" ht="21">
      <c r="A110" s="95" t="s">
        <v>8</v>
      </c>
      <c r="B110" s="96"/>
      <c r="C110" s="97"/>
      <c r="D110" s="97"/>
      <c r="E110" s="97"/>
      <c r="F110" s="98"/>
      <c r="G110" s="13"/>
      <c r="H110" s="2"/>
      <c r="I110" s="2"/>
      <c r="J110" s="2"/>
      <c r="K110" s="12"/>
      <c r="L110" s="12"/>
      <c r="M110" s="12"/>
    </row>
    <row r="111" spans="1:13" ht="21">
      <c r="A111" s="141"/>
      <c r="B111" s="100"/>
      <c r="C111" s="101"/>
      <c r="D111" s="101"/>
      <c r="E111" s="101"/>
      <c r="F111" s="102"/>
      <c r="G111" s="13"/>
      <c r="H111" s="2"/>
      <c r="I111" s="2"/>
      <c r="J111" s="2"/>
      <c r="K111" s="12"/>
      <c r="L111" s="12"/>
      <c r="M111" s="12"/>
    </row>
    <row r="112" spans="1:13">
      <c r="A112" s="99"/>
      <c r="B112" s="101"/>
      <c r="C112" s="101"/>
      <c r="D112" s="101"/>
      <c r="E112" s="101"/>
      <c r="F112" s="102"/>
      <c r="G112" s="13"/>
      <c r="H112" s="2"/>
      <c r="I112" s="2"/>
      <c r="J112" s="2"/>
      <c r="K112" s="12"/>
      <c r="L112" s="12"/>
      <c r="M112" s="12"/>
    </row>
    <row r="113" spans="1:13">
      <c r="A113" s="103" t="s">
        <v>119</v>
      </c>
      <c r="B113" s="104"/>
      <c r="C113" s="105"/>
      <c r="D113" s="105"/>
      <c r="E113" s="105"/>
      <c r="F113" s="102"/>
      <c r="G113" s="13"/>
      <c r="H113" s="2"/>
      <c r="I113" s="2"/>
      <c r="J113" s="2"/>
      <c r="K113" s="12"/>
      <c r="L113" s="12"/>
      <c r="M113" s="12"/>
    </row>
    <row r="114" spans="1:13" ht="45">
      <c r="A114" s="110"/>
      <c r="B114" s="108" t="s">
        <v>25</v>
      </c>
      <c r="C114" s="108" t="s">
        <v>26</v>
      </c>
      <c r="D114" s="109" t="s">
        <v>120</v>
      </c>
      <c r="E114" s="109" t="s">
        <v>28</v>
      </c>
      <c r="F114" s="102"/>
      <c r="G114" s="13"/>
      <c r="H114" s="2"/>
      <c r="I114" s="2"/>
      <c r="J114" s="2"/>
      <c r="K114" s="123" t="s">
        <v>31</v>
      </c>
      <c r="L114" s="123" t="s">
        <v>32</v>
      </c>
      <c r="M114" s="123" t="s">
        <v>33</v>
      </c>
    </row>
    <row r="115" spans="1:13">
      <c r="A115" s="99" t="s">
        <v>121</v>
      </c>
      <c r="B115" s="142" t="s">
        <v>35</v>
      </c>
      <c r="C115" s="68"/>
      <c r="D115" s="139" t="str">
        <f>IF(C115&gt;0,K115,"")</f>
        <v/>
      </c>
      <c r="E115" s="161" t="str">
        <f>IF(B116="ja",0,(IF(C115="","",C115*K115)))</f>
        <v/>
      </c>
      <c r="F115" s="102"/>
      <c r="G115" s="13"/>
      <c r="H115" s="2"/>
      <c r="I115" s="2"/>
      <c r="J115" s="2"/>
      <c r="K115" s="82">
        <v>0.28920000000000001</v>
      </c>
      <c r="L115" s="11" t="s">
        <v>84</v>
      </c>
      <c r="M115" s="11" t="s">
        <v>85</v>
      </c>
    </row>
    <row r="116" spans="1:13" ht="30" customHeight="1">
      <c r="A116" s="145" t="s">
        <v>86</v>
      </c>
      <c r="B116" s="60" t="s">
        <v>87</v>
      </c>
      <c r="C116" s="105"/>
      <c r="D116" s="129"/>
      <c r="E116" s="158"/>
      <c r="F116" s="102"/>
      <c r="G116" s="13"/>
      <c r="H116" s="6" t="s">
        <v>122</v>
      </c>
      <c r="I116" s="7" t="s">
        <v>123</v>
      </c>
      <c r="J116" s="2"/>
      <c r="K116" s="12"/>
      <c r="L116" s="12"/>
      <c r="M116" s="12"/>
    </row>
    <row r="117" spans="1:13" ht="15" customHeight="1">
      <c r="A117" s="147" t="s">
        <v>88</v>
      </c>
      <c r="B117" s="148" t="s">
        <v>84</v>
      </c>
      <c r="C117" s="61"/>
      <c r="D117" s="129"/>
      <c r="E117" s="161" t="str">
        <f>IF(C117="","",C115*C117)</f>
        <v/>
      </c>
      <c r="F117" s="102"/>
      <c r="G117" s="13"/>
      <c r="H117" s="2"/>
      <c r="I117" s="262" t="s">
        <v>124</v>
      </c>
      <c r="J117" s="2"/>
      <c r="K117" s="12"/>
      <c r="L117" s="12"/>
      <c r="M117" s="12"/>
    </row>
    <row r="118" spans="1:13">
      <c r="A118" s="151"/>
      <c r="B118" s="121"/>
      <c r="C118" s="152"/>
      <c r="D118" s="129"/>
      <c r="E118" s="158"/>
      <c r="F118" s="102"/>
      <c r="G118" s="13"/>
      <c r="H118" s="2"/>
      <c r="I118" s="262"/>
      <c r="J118" s="2"/>
      <c r="K118" s="12"/>
      <c r="L118" s="12"/>
      <c r="M118" s="12"/>
    </row>
    <row r="119" spans="1:13">
      <c r="A119" s="144" t="s">
        <v>125</v>
      </c>
      <c r="B119" s="142" t="s">
        <v>35</v>
      </c>
      <c r="C119" s="68"/>
      <c r="D119" s="139" t="str">
        <f>IF(C119&gt;0,K119,"")</f>
        <v/>
      </c>
      <c r="E119" s="161" t="str">
        <f>IF(B120="ja",0,(IF(C119="","",C119*K119)))</f>
        <v/>
      </c>
      <c r="F119" s="102"/>
      <c r="G119" s="13"/>
      <c r="H119" s="2"/>
      <c r="I119" s="262"/>
      <c r="J119" s="7"/>
      <c r="K119" s="82">
        <v>0.28920000000000001</v>
      </c>
      <c r="L119" s="11" t="s">
        <v>84</v>
      </c>
      <c r="M119" s="11" t="s">
        <v>85</v>
      </c>
    </row>
    <row r="120" spans="1:13">
      <c r="A120" s="145" t="s">
        <v>126</v>
      </c>
      <c r="B120" s="60" t="s">
        <v>87</v>
      </c>
      <c r="C120" s="104"/>
      <c r="D120" s="104"/>
      <c r="E120" s="104"/>
      <c r="F120" s="102"/>
      <c r="G120" s="13"/>
      <c r="H120" s="2"/>
      <c r="I120" s="7"/>
      <c r="J120" s="7"/>
      <c r="K120" s="12"/>
      <c r="L120" s="12"/>
      <c r="M120" s="12"/>
    </row>
    <row r="121" spans="1:13">
      <c r="A121" s="146"/>
      <c r="B121" s="142"/>
      <c r="C121" s="101"/>
      <c r="D121" s="101"/>
      <c r="E121" s="101"/>
      <c r="F121" s="102"/>
      <c r="G121" s="13"/>
      <c r="H121" s="2"/>
      <c r="I121" s="262"/>
      <c r="J121" s="2"/>
      <c r="K121" s="12"/>
      <c r="L121" s="12"/>
      <c r="M121" s="12"/>
    </row>
    <row r="122" spans="1:13">
      <c r="A122" s="149" t="s">
        <v>127</v>
      </c>
      <c r="B122" s="121"/>
      <c r="C122" s="150"/>
      <c r="D122" s="150"/>
      <c r="E122" s="150"/>
      <c r="F122" s="102"/>
      <c r="G122" s="13"/>
      <c r="H122" s="2"/>
      <c r="I122" s="262"/>
      <c r="J122" s="2"/>
      <c r="K122" s="12"/>
      <c r="L122" s="12"/>
      <c r="M122" s="12"/>
    </row>
    <row r="123" spans="1:13" ht="45">
      <c r="A123" s="105"/>
      <c r="B123" s="108" t="s">
        <v>25</v>
      </c>
      <c r="C123" s="108" t="s">
        <v>26</v>
      </c>
      <c r="D123" s="109" t="s">
        <v>120</v>
      </c>
      <c r="E123" s="109" t="s">
        <v>28</v>
      </c>
      <c r="F123" s="102"/>
      <c r="G123" s="13"/>
      <c r="H123" s="2"/>
      <c r="I123" s="2"/>
      <c r="J123" s="2"/>
      <c r="K123" s="123" t="s">
        <v>31</v>
      </c>
      <c r="L123" s="123" t="s">
        <v>32</v>
      </c>
      <c r="M123" s="123" t="s">
        <v>33</v>
      </c>
    </row>
    <row r="124" spans="1:13" ht="15" customHeight="1">
      <c r="A124" s="62" t="s">
        <v>128</v>
      </c>
      <c r="B124" s="142" t="s">
        <v>35</v>
      </c>
      <c r="C124" s="73"/>
      <c r="D124" s="139" t="str">
        <f>IF(C124&gt;0,K124,"")</f>
        <v/>
      </c>
      <c r="E124" s="161" t="str">
        <f t="shared" ref="E124" si="8">IF(C124&gt;0,C124*K124,"")</f>
        <v/>
      </c>
      <c r="F124" s="102"/>
      <c r="G124" s="13"/>
      <c r="H124" s="2" t="s">
        <v>129</v>
      </c>
      <c r="I124" s="268" t="s">
        <v>130</v>
      </c>
      <c r="J124" s="2"/>
      <c r="K124" s="82">
        <f>VLOOKUP(A124,Fernheizwerke[],2)</f>
        <v>0.40643000000000001</v>
      </c>
      <c r="L124" s="11" t="s">
        <v>84</v>
      </c>
      <c r="M124" s="11" t="str">
        <f>VLOOKUP(A124,Fernheizwerke[],3)</f>
        <v>Alperia 2021</v>
      </c>
    </row>
    <row r="125" spans="1:13">
      <c r="A125" s="99" t="s">
        <v>131</v>
      </c>
      <c r="B125" s="142" t="s">
        <v>35</v>
      </c>
      <c r="C125" s="73"/>
      <c r="D125" s="61"/>
      <c r="E125" s="161" t="str">
        <f>IF(C125&gt;0,C125*D125,"")</f>
        <v/>
      </c>
      <c r="F125" s="102"/>
      <c r="G125" s="13"/>
      <c r="H125" s="2"/>
      <c r="I125" s="268"/>
      <c r="J125" s="2"/>
      <c r="K125" s="12"/>
      <c r="L125" s="12"/>
      <c r="M125" s="12"/>
    </row>
    <row r="126" spans="1:13">
      <c r="A126" s="99" t="s">
        <v>132</v>
      </c>
      <c r="B126" s="142" t="s">
        <v>35</v>
      </c>
      <c r="C126" s="68"/>
      <c r="D126" s="56"/>
      <c r="E126" s="161" t="str">
        <f>IF(C126&gt;0,C126*D126,"")</f>
        <v/>
      </c>
      <c r="F126" s="102"/>
      <c r="G126" s="13"/>
      <c r="H126" s="2"/>
      <c r="I126" s="268"/>
      <c r="J126" s="2"/>
      <c r="K126" s="12"/>
      <c r="L126" s="12"/>
      <c r="M126" s="12"/>
    </row>
    <row r="127" spans="1:13">
      <c r="A127" s="143"/>
      <c r="B127" s="100"/>
      <c r="C127" s="101"/>
      <c r="D127" s="101"/>
      <c r="E127" s="101"/>
      <c r="F127" s="102"/>
      <c r="G127" s="13"/>
      <c r="H127" s="2"/>
      <c r="I127" s="2"/>
      <c r="J127" s="2"/>
      <c r="K127" s="12"/>
      <c r="L127" s="12"/>
      <c r="M127" s="12"/>
    </row>
    <row r="128" spans="1:13">
      <c r="A128" s="136"/>
      <c r="B128" s="137"/>
      <c r="C128" s="138"/>
      <c r="D128" s="138"/>
      <c r="E128" s="138"/>
      <c r="F128" s="135"/>
      <c r="G128" s="13"/>
      <c r="H128" s="2"/>
      <c r="I128" s="2"/>
      <c r="J128" s="2"/>
      <c r="K128" s="12"/>
      <c r="L128" s="12"/>
      <c r="M128" s="12"/>
    </row>
    <row r="129" spans="1:13">
      <c r="A129" s="13"/>
      <c r="B129" s="14"/>
      <c r="C129" s="13"/>
      <c r="D129" s="13"/>
      <c r="E129" s="13"/>
      <c r="F129" s="13"/>
      <c r="G129" s="13"/>
      <c r="H129" s="2"/>
      <c r="I129" s="2"/>
      <c r="J129" s="2"/>
      <c r="K129" s="12"/>
      <c r="L129" s="12"/>
      <c r="M129" s="12"/>
    </row>
    <row r="130" spans="1:13">
      <c r="A130" s="13"/>
      <c r="B130" s="14"/>
      <c r="C130" s="13"/>
      <c r="D130" s="13"/>
      <c r="E130" s="13"/>
      <c r="F130" s="13"/>
      <c r="G130" s="13"/>
      <c r="H130" s="2"/>
      <c r="I130" s="2"/>
      <c r="J130" s="2"/>
      <c r="K130" s="12"/>
      <c r="L130" s="12"/>
      <c r="M130" s="12"/>
    </row>
    <row r="131" spans="1:13" ht="21.6" customHeight="1">
      <c r="A131" s="88" t="s">
        <v>133</v>
      </c>
      <c r="B131" s="91"/>
      <c r="C131" s="89"/>
      <c r="D131" s="89"/>
      <c r="E131" s="89"/>
      <c r="F131" s="90"/>
      <c r="G131" s="13"/>
      <c r="H131" s="6"/>
      <c r="I131" s="266"/>
      <c r="J131" s="8"/>
      <c r="K131" s="12"/>
      <c r="L131" s="12"/>
      <c r="M131" s="12"/>
    </row>
    <row r="132" spans="1:13" ht="21">
      <c r="A132" s="162"/>
      <c r="B132" s="93"/>
      <c r="C132" s="94"/>
      <c r="D132" s="94"/>
      <c r="E132" s="94"/>
      <c r="F132" s="113"/>
      <c r="G132" s="13"/>
      <c r="H132" s="2"/>
      <c r="I132" s="266"/>
      <c r="J132" s="8"/>
      <c r="K132" s="12"/>
      <c r="L132" s="12"/>
      <c r="M132" s="12"/>
    </row>
    <row r="133" spans="1:13">
      <c r="A133" s="110"/>
      <c r="B133" s="105"/>
      <c r="C133" s="105"/>
      <c r="D133" s="105"/>
      <c r="E133" s="105"/>
      <c r="F133" s="113"/>
      <c r="G133" s="13"/>
      <c r="H133" s="2"/>
      <c r="I133" s="266"/>
      <c r="J133" s="8"/>
      <c r="K133" s="12"/>
      <c r="L133" s="12"/>
      <c r="M133" s="12"/>
    </row>
    <row r="134" spans="1:13">
      <c r="A134" s="103"/>
      <c r="B134" s="104"/>
      <c r="C134" s="105"/>
      <c r="D134" s="105"/>
      <c r="E134" s="105"/>
      <c r="F134" s="113"/>
      <c r="G134" s="13"/>
      <c r="H134" s="2"/>
      <c r="I134" s="2"/>
      <c r="J134" s="2"/>
      <c r="K134" s="12"/>
      <c r="L134" s="12"/>
      <c r="M134" s="12"/>
    </row>
    <row r="135" spans="1:13" ht="15.75" thickBot="1">
      <c r="A135" s="110"/>
      <c r="B135" s="104"/>
      <c r="C135" s="108" t="s">
        <v>26</v>
      </c>
      <c r="D135" s="108" t="s">
        <v>25</v>
      </c>
      <c r="E135" s="105"/>
      <c r="F135" s="113"/>
      <c r="G135" s="13"/>
      <c r="H135" s="2"/>
      <c r="I135" s="2"/>
      <c r="J135" s="2"/>
      <c r="K135" s="12"/>
      <c r="L135" s="12"/>
      <c r="M135" s="12"/>
    </row>
    <row r="136" spans="1:13" ht="15.75" thickBot="1">
      <c r="A136" s="174" t="s">
        <v>20</v>
      </c>
      <c r="B136" s="175"/>
      <c r="C136" s="176">
        <f>SUM(C137:C139)/1000</f>
        <v>0</v>
      </c>
      <c r="D136" s="177" t="s">
        <v>134</v>
      </c>
      <c r="E136" s="105"/>
      <c r="F136" s="113"/>
      <c r="G136" s="13"/>
      <c r="H136" s="2"/>
      <c r="I136" s="2"/>
      <c r="J136" s="2"/>
      <c r="K136" s="12"/>
      <c r="L136" s="12"/>
      <c r="M136" s="12"/>
    </row>
    <row r="137" spans="1:13">
      <c r="A137" s="105" t="s">
        <v>135</v>
      </c>
      <c r="B137" s="104"/>
      <c r="C137" s="227">
        <f>SUM(E19:E33)</f>
        <v>0</v>
      </c>
      <c r="D137" s="178" t="s">
        <v>136</v>
      </c>
      <c r="E137" s="105"/>
      <c r="F137" s="113"/>
      <c r="G137" s="13"/>
      <c r="H137" s="2"/>
      <c r="I137" s="2"/>
      <c r="J137" s="2"/>
      <c r="K137" s="12"/>
      <c r="L137" s="12"/>
      <c r="M137" s="12"/>
    </row>
    <row r="138" spans="1:13">
      <c r="A138" s="105" t="s">
        <v>60</v>
      </c>
      <c r="B138" s="104"/>
      <c r="C138" s="228">
        <f>SUM(E47:E62)+SUM(E66:E106)</f>
        <v>0</v>
      </c>
      <c r="D138" s="179" t="s">
        <v>136</v>
      </c>
      <c r="E138" s="105"/>
      <c r="F138" s="113"/>
      <c r="G138" s="13"/>
      <c r="H138" s="2"/>
      <c r="I138" s="2"/>
      <c r="J138" s="2"/>
      <c r="K138" s="12"/>
      <c r="L138" s="12"/>
      <c r="M138" s="12"/>
    </row>
    <row r="139" spans="1:13">
      <c r="A139" s="105" t="s">
        <v>52</v>
      </c>
      <c r="B139" s="104"/>
      <c r="C139" s="229">
        <f>SUM(E38:E42)</f>
        <v>0</v>
      </c>
      <c r="D139" s="179" t="s">
        <v>136</v>
      </c>
      <c r="E139" s="105"/>
      <c r="F139" s="113"/>
      <c r="G139" s="13"/>
      <c r="H139" s="2"/>
      <c r="I139" s="2"/>
      <c r="J139" s="2"/>
      <c r="K139" s="12"/>
      <c r="L139" s="12"/>
      <c r="M139" s="12"/>
    </row>
    <row r="140" spans="1:13" ht="15.75" thickBot="1">
      <c r="A140" s="103"/>
      <c r="B140" s="104"/>
      <c r="C140" s="105"/>
      <c r="D140" s="180"/>
      <c r="E140" s="105"/>
      <c r="F140" s="113"/>
      <c r="G140" s="13"/>
      <c r="H140" s="2"/>
      <c r="I140" s="2"/>
      <c r="J140" s="2"/>
      <c r="K140" s="12"/>
      <c r="L140" s="12"/>
      <c r="M140" s="12"/>
    </row>
    <row r="141" spans="1:13">
      <c r="A141" s="233" t="s">
        <v>137</v>
      </c>
      <c r="B141" s="167"/>
      <c r="C141" s="168">
        <f>(C143+C145+C146+C147)/1000</f>
        <v>0</v>
      </c>
      <c r="D141" s="169" t="s">
        <v>134</v>
      </c>
      <c r="E141" s="105"/>
      <c r="F141" s="113"/>
      <c r="G141" s="13"/>
      <c r="H141" s="2"/>
      <c r="I141" s="2"/>
      <c r="J141" s="2"/>
      <c r="K141" s="12"/>
      <c r="L141" s="12"/>
      <c r="M141" s="12"/>
    </row>
    <row r="142" spans="1:13" ht="15.75" customHeight="1" thickBot="1">
      <c r="A142" s="170" t="s">
        <v>138</v>
      </c>
      <c r="B142" s="171"/>
      <c r="C142" s="172">
        <f>(C144+C146+C147)/1000</f>
        <v>0</v>
      </c>
      <c r="D142" s="173" t="s">
        <v>134</v>
      </c>
      <c r="E142" s="105"/>
      <c r="F142" s="113"/>
      <c r="G142" s="13"/>
      <c r="H142" s="2" t="s">
        <v>8</v>
      </c>
      <c r="I142" s="266" t="s">
        <v>139</v>
      </c>
      <c r="J142" s="2"/>
      <c r="K142" s="12"/>
      <c r="L142" s="12"/>
      <c r="M142" s="12"/>
    </row>
    <row r="143" spans="1:13">
      <c r="A143" s="105" t="s">
        <v>140</v>
      </c>
      <c r="B143" s="104"/>
      <c r="C143" s="230">
        <f>SUM(E115)</f>
        <v>0</v>
      </c>
      <c r="D143" s="178" t="s">
        <v>136</v>
      </c>
      <c r="E143" s="105"/>
      <c r="F143" s="113"/>
      <c r="G143" s="13"/>
      <c r="H143" s="2"/>
      <c r="I143" s="266"/>
      <c r="J143" s="2"/>
      <c r="K143" s="12"/>
      <c r="L143" s="12"/>
      <c r="M143" s="12"/>
    </row>
    <row r="144" spans="1:13">
      <c r="A144" s="105" t="s">
        <v>141</v>
      </c>
      <c r="B144" s="104"/>
      <c r="C144" s="229">
        <f>IF(C117&gt;0,SUM(E117),SUM(E115))</f>
        <v>0</v>
      </c>
      <c r="D144" s="179" t="s">
        <v>136</v>
      </c>
      <c r="E144" s="105"/>
      <c r="F144" s="113"/>
      <c r="G144" s="13"/>
      <c r="H144" s="2"/>
      <c r="I144" s="2"/>
      <c r="J144" s="2"/>
      <c r="K144" s="12"/>
      <c r="L144" s="12"/>
      <c r="M144" s="12"/>
    </row>
    <row r="145" spans="1:13">
      <c r="A145" s="105" t="s">
        <v>142</v>
      </c>
      <c r="B145" s="104"/>
      <c r="C145" s="229">
        <f>SUM(E119)</f>
        <v>0</v>
      </c>
      <c r="D145" s="179" t="s">
        <v>136</v>
      </c>
      <c r="E145" s="105"/>
      <c r="F145" s="113"/>
      <c r="G145" s="13"/>
      <c r="H145" s="2"/>
      <c r="I145" s="2"/>
      <c r="J145" s="2"/>
      <c r="K145" s="12"/>
      <c r="L145" s="12"/>
      <c r="M145" s="12"/>
    </row>
    <row r="146" spans="1:13">
      <c r="A146" s="105" t="s">
        <v>143</v>
      </c>
      <c r="B146" s="104"/>
      <c r="C146" s="229">
        <f>SUM(E124)+SUM(E125)</f>
        <v>0</v>
      </c>
      <c r="D146" s="179" t="s">
        <v>136</v>
      </c>
      <c r="E146" s="105"/>
      <c r="F146" s="113"/>
      <c r="G146" s="13"/>
      <c r="H146" s="2"/>
      <c r="I146" s="2"/>
      <c r="J146" s="2"/>
      <c r="K146" s="12"/>
      <c r="L146" s="12"/>
      <c r="M146" s="12"/>
    </row>
    <row r="147" spans="1:13">
      <c r="A147" s="105" t="s">
        <v>132</v>
      </c>
      <c r="B147" s="104"/>
      <c r="C147" s="229">
        <f>SUM(E126)</f>
        <v>0</v>
      </c>
      <c r="D147" s="179" t="s">
        <v>136</v>
      </c>
      <c r="E147" s="105"/>
      <c r="F147" s="113"/>
      <c r="G147" s="13"/>
      <c r="H147" s="2"/>
      <c r="I147" s="2"/>
      <c r="J147" s="2"/>
      <c r="K147" s="12"/>
      <c r="L147" s="12"/>
      <c r="M147" s="12"/>
    </row>
    <row r="148" spans="1:13">
      <c r="A148" s="110"/>
      <c r="B148" s="104"/>
      <c r="C148" s="105"/>
      <c r="D148" s="105"/>
      <c r="E148" s="105"/>
      <c r="F148" s="113"/>
      <c r="G148" s="13"/>
      <c r="H148" s="2"/>
      <c r="I148" s="2"/>
      <c r="J148" s="2"/>
      <c r="K148" s="12"/>
      <c r="L148" s="12"/>
      <c r="M148" s="12"/>
    </row>
    <row r="149" spans="1:13">
      <c r="A149" s="164"/>
      <c r="B149" s="165"/>
      <c r="C149" s="166"/>
      <c r="D149" s="166"/>
      <c r="E149" s="166"/>
      <c r="F149" s="163"/>
      <c r="G149" s="13"/>
      <c r="H149" s="2"/>
      <c r="I149" s="2"/>
      <c r="J149" s="2"/>
      <c r="K149" s="12"/>
      <c r="L149" s="12"/>
      <c r="M149" s="12"/>
    </row>
    <row r="150" spans="1:13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</sheetData>
  <sheetProtection algorithmName="SHA-512" hashValue="+2JEn8gLm9OcW6GbUQbHBKzqRz2tW+FPMRxqNFDoCFQGWgPulA6+SpufHby/lUAkeisup/Aueb7hirqDeZEzUQ==" saltValue="OoxLk87mqGXyedRvhEXojQ==" spinCount="100000" sheet="1" objects="1" scenarios="1"/>
  <mergeCells count="23">
    <mergeCell ref="I142:I143"/>
    <mergeCell ref="I131:I133"/>
    <mergeCell ref="I18:I23"/>
    <mergeCell ref="H47:H48"/>
    <mergeCell ref="I44:I45"/>
    <mergeCell ref="I37:I43"/>
    <mergeCell ref="I97:I99"/>
    <mergeCell ref="I121:I122"/>
    <mergeCell ref="I117:I119"/>
    <mergeCell ref="I124:I126"/>
    <mergeCell ref="B3:D3"/>
    <mergeCell ref="B5:D5"/>
    <mergeCell ref="A64:E64"/>
    <mergeCell ref="I14:I16"/>
    <mergeCell ref="I47:I53"/>
    <mergeCell ref="I56:I58"/>
    <mergeCell ref="B7:D7"/>
    <mergeCell ref="B8:D8"/>
    <mergeCell ref="B9:D9"/>
    <mergeCell ref="B10:D10"/>
    <mergeCell ref="B4:D4"/>
    <mergeCell ref="B6:D6"/>
    <mergeCell ref="H56:H58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E41" formula="1"/>
  </ignoredErrors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79967A57-5F5F-43ED-BF8B-AB4B8977EADE}">
          <x14:formula1>
            <xm:f>'Fattori di emissione'!$A$4:$A$5</xm:f>
          </x14:formula1>
          <xm:sqref>B19</xm:sqref>
        </x14:dataValidation>
        <x14:dataValidation type="list" allowBlank="1" showInputMessage="1" showErrorMessage="1" xr:uid="{F40DC392-BD2A-48F9-9BB4-E88D52E5ECAC}">
          <x14:formula1>
            <xm:f>'Fattori di emissione'!$A$8:$A$10</xm:f>
          </x14:formula1>
          <xm:sqref>B20</xm:sqref>
        </x14:dataValidation>
        <x14:dataValidation type="list" allowBlank="1" showInputMessage="1" showErrorMessage="1" xr:uid="{48E65B59-161B-4E49-9C88-16BBEEC249AC}">
          <x14:formula1>
            <xm:f>'Fattori di emissione'!$A$18:$A$20</xm:f>
          </x14:formula1>
          <xm:sqref>B22</xm:sqref>
        </x14:dataValidation>
        <x14:dataValidation type="list" allowBlank="1" showInputMessage="1" showErrorMessage="1" xr:uid="{D0356774-2944-4304-8D88-E9C6B39AE033}">
          <x14:formula1>
            <xm:f>'Fattori di emissione'!$A$23:$A$24</xm:f>
          </x14:formula1>
          <xm:sqref>B23</xm:sqref>
        </x14:dataValidation>
        <x14:dataValidation type="list" allowBlank="1" showInputMessage="1" showErrorMessage="1" xr:uid="{94520A24-B7E1-4510-BC37-016120D56712}">
          <x14:formula1>
            <xm:f>'Fattori di emissione'!$A$31:$A$34</xm:f>
          </x14:formula1>
          <xm:sqref>B25</xm:sqref>
        </x14:dataValidation>
        <x14:dataValidation type="list" allowBlank="1" showInputMessage="1" showErrorMessage="1" xr:uid="{32AE8D90-9FCF-4EE5-B48A-7A04D53EBF81}">
          <x14:formula1>
            <xm:f>'Fattori di emissione'!$A$37:$A$38</xm:f>
          </x14:formula1>
          <xm:sqref>B26</xm:sqref>
        </x14:dataValidation>
        <x14:dataValidation type="list" allowBlank="1" showInputMessage="1" showErrorMessage="1" xr:uid="{BB015C75-5FF7-4B76-9D38-52368B526E7E}">
          <x14:formula1>
            <xm:f>'Fattori di emissione'!$A$41:$A$43</xm:f>
          </x14:formula1>
          <xm:sqref>B27</xm:sqref>
        </x14:dataValidation>
        <x14:dataValidation type="list" allowBlank="1" showInputMessage="1" showErrorMessage="1" xr:uid="{78A8B7C8-96A5-4ACB-A0AB-9910F60E4E30}">
          <x14:formula1>
            <xm:f>'Fattori di emissione'!$A$46:$A$47</xm:f>
          </x14:formula1>
          <xm:sqref>B28</xm:sqref>
        </x14:dataValidation>
        <x14:dataValidation type="list" allowBlank="1" showInputMessage="1" showErrorMessage="1" xr:uid="{E07D63E2-319A-4B9D-90D3-24BE70D77EB7}">
          <x14:formula1>
            <xm:f>Refrigeranti!$A$2:$A$23</xm:f>
          </x14:formula1>
          <xm:sqref>A40</xm:sqref>
        </x14:dataValidation>
        <x14:dataValidation type="list" showInputMessage="1" showErrorMessage="1" xr:uid="{0BFC7F39-6C6F-4431-9C05-CC0E1D81A362}">
          <x14:formula1>
            <xm:f>Refrigeranti!$A$2:$A$23</xm:f>
          </x14:formula1>
          <xm:sqref>A38</xm:sqref>
        </x14:dataValidation>
        <x14:dataValidation type="list" allowBlank="1" showInputMessage="1" showErrorMessage="1" xr:uid="{05022D96-57B4-47A3-8A7E-8807BF94DE33}">
          <x14:formula1>
            <xm:f>'Fattori di emissione'!$A$13:$A$14</xm:f>
          </x14:formula1>
          <xm:sqref>B21</xm:sqref>
        </x14:dataValidation>
        <x14:dataValidation type="list" allowBlank="1" showInputMessage="1" showErrorMessage="1" xr:uid="{62266E2C-EAF1-4B13-81D9-7D378FDC3E4E}">
          <x14:formula1>
            <xm:f>check!$A$3:$A$4</xm:f>
          </x14:formula1>
          <xm:sqref>B57 B116 B120</xm:sqref>
        </x14:dataValidation>
        <x14:dataValidation type="list" allowBlank="1" showInputMessage="1" showErrorMessage="1" xr:uid="{EF066532-91D8-4AB3-AB99-6E53913928A7}">
          <x14:formula1>
            <xm:f>'Fattori di emissione'!$A$54:$A$55</xm:f>
          </x14:formula1>
          <xm:sqref>B29</xm:sqref>
        </x14:dataValidation>
        <x14:dataValidation type="list" allowBlank="1" showInputMessage="1" showErrorMessage="1" xr:uid="{4897A896-1C2D-41C9-89B4-CA289CB7054E}">
          <x14:formula1>
            <xm:f>'Teleriscaldamento in AA'!$A$2:$A$9</xm:f>
          </x14:formula1>
          <xm:sqref>A124</xm:sqref>
        </x14:dataValidation>
        <x14:dataValidation type="list" allowBlank="1" showInputMessage="1" showErrorMessage="1" xr:uid="{ADCDFD0F-283C-48D1-847D-8D6C18F6D0C9}">
          <x14:formula1>
            <xm:f>'Fattori di emissione'!$A$27:$A$28</xm:f>
          </x14:formula1>
          <xm:sqref>B24</xm:sqref>
        </x14:dataValidation>
        <x14:dataValidation type="list" allowBlank="1" showInputMessage="1" showErrorMessage="1" xr:uid="{4D2C53C5-E2BE-445D-A70A-E543F3028518}">
          <x14:formula1>
            <xm:f>Refrigeranti!$A$2:$A$22</xm:f>
          </x14:formula1>
          <xm:sqref>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E18D-AB68-41F2-9D28-B1314E1A570C}">
  <dimension ref="A1:S57"/>
  <sheetViews>
    <sheetView showGridLines="0" zoomScale="98" zoomScaleNormal="98" workbookViewId="0">
      <selection activeCell="R11" sqref="R11"/>
    </sheetView>
  </sheetViews>
  <sheetFormatPr defaultColWidth="9.140625" defaultRowHeight="15"/>
  <cols>
    <col min="1" max="1" width="44.28515625" customWidth="1"/>
    <col min="2" max="2" width="21.85546875" style="9" customWidth="1"/>
    <col min="16" max="16" width="24.7109375" style="206" bestFit="1" customWidth="1"/>
    <col min="17" max="17" width="12.140625" style="206" bestFit="1" customWidth="1"/>
    <col min="18" max="18" width="18.7109375" style="206" customWidth="1"/>
    <col min="19" max="19" width="12.140625" style="206" bestFit="1" customWidth="1"/>
  </cols>
  <sheetData>
    <row r="1" spans="1:19" ht="26.1" customHeight="1">
      <c r="A1" s="218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7" t="s">
        <v>145</v>
      </c>
    </row>
    <row r="3" spans="1:19" ht="15.75" thickBot="1">
      <c r="A3" s="2"/>
      <c r="B3" s="53">
        <v>2024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06" t="s">
        <v>20</v>
      </c>
      <c r="R3" s="206" t="s">
        <v>8</v>
      </c>
    </row>
    <row r="4" spans="1:19" ht="51.6" customHeight="1">
      <c r="A4" s="181" t="s">
        <v>146</v>
      </c>
      <c r="B4" s="183" t="s">
        <v>147</v>
      </c>
      <c r="C4" s="2"/>
      <c r="D4" s="6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06" t="s">
        <v>148</v>
      </c>
      <c r="Q4" s="208">
        <f>$B$8</f>
        <v>0</v>
      </c>
      <c r="R4" s="208">
        <f>$B$17</f>
        <v>0</v>
      </c>
      <c r="S4" s="208"/>
    </row>
    <row r="5" spans="1:19">
      <c r="A5" s="33" t="s">
        <v>135</v>
      </c>
      <c r="B5" s="85">
        <f>'Dati 2024'!C137/1000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06" t="s">
        <v>149</v>
      </c>
      <c r="Q5" s="208">
        <f>$B$8</f>
        <v>0</v>
      </c>
      <c r="R5" s="208">
        <f>$B$18</f>
        <v>0</v>
      </c>
      <c r="S5" s="208"/>
    </row>
    <row r="6" spans="1:19">
      <c r="A6" s="33" t="s">
        <v>60</v>
      </c>
      <c r="B6" s="85">
        <f>'Dati 2024'!C138/1000</f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208"/>
      <c r="R6" s="208"/>
      <c r="S6" s="208"/>
    </row>
    <row r="7" spans="1:19">
      <c r="A7" s="33" t="s">
        <v>52</v>
      </c>
      <c r="B7" s="85">
        <f>'Dati 2024'!C139/1000</f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Q7" s="208"/>
      <c r="R7" s="208"/>
      <c r="S7" s="208"/>
    </row>
    <row r="8" spans="1:19" ht="15.75" thickBot="1">
      <c r="A8" s="37" t="s">
        <v>150</v>
      </c>
      <c r="B8" s="86">
        <f>B5+B6+B7</f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08"/>
      <c r="R8" s="208"/>
      <c r="S8" s="208"/>
    </row>
    <row r="9" spans="1:19">
      <c r="A9" s="35"/>
      <c r="B9" s="3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9" ht="15.75" thickBot="1">
      <c r="A10" s="8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9" ht="53.45" customHeight="1">
      <c r="A11" s="181" t="s">
        <v>151</v>
      </c>
      <c r="B11" s="183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>
      <c r="A12" s="33" t="s">
        <v>140</v>
      </c>
      <c r="B12" s="85">
        <f>'Dati 2024'!C143/1000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>
      <c r="A13" s="33" t="s">
        <v>141</v>
      </c>
      <c r="B13" s="85">
        <f>'Dati 2024'!C144/1000</f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07" t="s">
        <v>152</v>
      </c>
    </row>
    <row r="14" spans="1:19">
      <c r="A14" s="33" t="s">
        <v>142</v>
      </c>
      <c r="B14" s="85">
        <f>'Dati 2024'!C145/1000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206" t="s">
        <v>20</v>
      </c>
      <c r="R14" s="206" t="s">
        <v>8</v>
      </c>
    </row>
    <row r="15" spans="1:19">
      <c r="A15" s="33" t="s">
        <v>143</v>
      </c>
      <c r="B15" s="85">
        <f>'Dati 2024'!C146/1000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06">
        <v>2024</v>
      </c>
      <c r="Q15" s="208">
        <f>$B$8</f>
        <v>0</v>
      </c>
      <c r="R15" s="208">
        <f>$B$17</f>
        <v>0</v>
      </c>
    </row>
    <row r="16" spans="1:19" ht="30">
      <c r="A16" s="33" t="s">
        <v>132</v>
      </c>
      <c r="B16" s="85">
        <f>'Dati 2024'!C147/1000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09"/>
      <c r="Q16" s="210"/>
    </row>
    <row r="17" spans="1:19" ht="30">
      <c r="A17" s="36" t="s">
        <v>153</v>
      </c>
      <c r="B17" s="87">
        <f>B12+B14+B15+B16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07" t="s">
        <v>154</v>
      </c>
      <c r="Q17" s="206" t="s">
        <v>20</v>
      </c>
      <c r="R17" s="206" t="s">
        <v>8</v>
      </c>
    </row>
    <row r="18" spans="1:19" ht="15.75" thickBot="1">
      <c r="A18" s="37" t="s">
        <v>155</v>
      </c>
      <c r="B18" s="86">
        <f>B13+B15+B16</f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24">
        <v>2024</v>
      </c>
      <c r="Q18" s="225">
        <f>$B$8</f>
        <v>0</v>
      </c>
      <c r="R18" s="226">
        <f>$B$18</f>
        <v>0</v>
      </c>
    </row>
    <row r="19" spans="1:19">
      <c r="A19" s="32"/>
      <c r="B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09"/>
      <c r="Q19" s="210"/>
    </row>
    <row r="20" spans="1:19" ht="15.75" thickBot="1">
      <c r="A20" s="32"/>
      <c r="B20" s="3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07" t="s">
        <v>156</v>
      </c>
      <c r="Q20" s="210"/>
      <c r="R20" s="207" t="s">
        <v>157</v>
      </c>
    </row>
    <row r="21" spans="1:19">
      <c r="A21" s="181" t="s">
        <v>158</v>
      </c>
      <c r="B21" s="22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09"/>
      <c r="Q21" s="210"/>
    </row>
    <row r="22" spans="1:19" ht="30">
      <c r="A22" s="33" t="s">
        <v>159</v>
      </c>
      <c r="B22" s="222" t="e">
        <f>(B8+B17)/('Dati 2024'!B7/1000)</f>
        <v>#DIV/0!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12" t="s">
        <v>135</v>
      </c>
      <c r="Q22" s="208">
        <f>$B$5</f>
        <v>0</v>
      </c>
      <c r="R22" s="212" t="s">
        <v>135</v>
      </c>
      <c r="S22" s="208">
        <f>$B$5</f>
        <v>0</v>
      </c>
    </row>
    <row r="23" spans="1:19" ht="30.75" thickBot="1">
      <c r="A23" s="34" t="s">
        <v>160</v>
      </c>
      <c r="B23" s="223" t="e">
        <f>(B8+B17)/'Dati 2024'!B6</f>
        <v>#DIV/0!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12" t="s">
        <v>161</v>
      </c>
      <c r="Q23" s="208">
        <f>$B$6</f>
        <v>0</v>
      </c>
      <c r="R23" s="212" t="s">
        <v>161</v>
      </c>
      <c r="S23" s="208">
        <f>$B$6</f>
        <v>0</v>
      </c>
    </row>
    <row r="24" spans="1:19" ht="30">
      <c r="A24" s="16"/>
      <c r="B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12" t="s">
        <v>52</v>
      </c>
      <c r="Q24" s="208">
        <f>$B$7</f>
        <v>0</v>
      </c>
      <c r="R24" s="212" t="s">
        <v>52</v>
      </c>
      <c r="S24" s="208">
        <f>$B$7</f>
        <v>0</v>
      </c>
    </row>
    <row r="25" spans="1:19" ht="60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12" t="s">
        <v>162</v>
      </c>
      <c r="Q25" s="208">
        <f>$B$12</f>
        <v>0</v>
      </c>
      <c r="R25" s="212" t="s">
        <v>163</v>
      </c>
      <c r="S25" s="208">
        <f>$B$13</f>
        <v>0</v>
      </c>
    </row>
    <row r="26" spans="1:19" ht="45">
      <c r="A26" s="16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12" t="s">
        <v>142</v>
      </c>
      <c r="Q26" s="208">
        <f>$B$14</f>
        <v>0</v>
      </c>
      <c r="R26" s="212" t="s">
        <v>142</v>
      </c>
      <c r="S26" s="208">
        <f>$B$14</f>
        <v>0</v>
      </c>
    </row>
    <row r="27" spans="1:19">
      <c r="A27" s="16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12" t="s">
        <v>143</v>
      </c>
      <c r="Q27" s="208">
        <f>$B$15</f>
        <v>0</v>
      </c>
      <c r="R27" s="212" t="s">
        <v>143</v>
      </c>
      <c r="S27" s="208">
        <f>$B$15</f>
        <v>0</v>
      </c>
    </row>
    <row r="28" spans="1:19" ht="60">
      <c r="A28" s="16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12" t="s">
        <v>132</v>
      </c>
      <c r="Q28" s="208">
        <f>$B$16</f>
        <v>0</v>
      </c>
      <c r="R28" s="212" t="s">
        <v>132</v>
      </c>
      <c r="S28" s="208">
        <f>$B$16</f>
        <v>0</v>
      </c>
    </row>
    <row r="29" spans="1:19">
      <c r="A29" s="16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208"/>
      <c r="R29" s="212"/>
      <c r="S29" s="208"/>
    </row>
    <row r="30" spans="1:19">
      <c r="A30" s="16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208"/>
      <c r="R30" s="212"/>
      <c r="S30" s="208"/>
    </row>
    <row r="31" spans="1:19">
      <c r="A31" s="16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208"/>
      <c r="S31" s="208"/>
    </row>
    <row r="32" spans="1:19">
      <c r="A32" s="16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07" t="s">
        <v>164</v>
      </c>
      <c r="S32" s="208"/>
    </row>
    <row r="33" spans="1:19" ht="30">
      <c r="A33" s="16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69" t="s">
        <v>20</v>
      </c>
      <c r="Q33" s="270">
        <f>$B$8</f>
        <v>0</v>
      </c>
      <c r="R33" s="212" t="s">
        <v>135</v>
      </c>
      <c r="S33" s="208">
        <f>$B$5</f>
        <v>0</v>
      </c>
    </row>
    <row r="34" spans="1:19">
      <c r="A34" s="16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69"/>
      <c r="Q34" s="269"/>
      <c r="R34" s="212" t="s">
        <v>161</v>
      </c>
      <c r="S34" s="208">
        <f>$B$6</f>
        <v>0</v>
      </c>
    </row>
    <row r="35" spans="1:19" ht="30">
      <c r="A35" s="16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69"/>
      <c r="Q35" s="269"/>
      <c r="R35" s="212" t="s">
        <v>52</v>
      </c>
      <c r="S35" s="208">
        <f>$B$7</f>
        <v>0</v>
      </c>
    </row>
    <row r="36" spans="1:19" ht="60">
      <c r="A36" s="16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69" t="s">
        <v>8</v>
      </c>
      <c r="Q36" s="270">
        <f>$B$17</f>
        <v>0</v>
      </c>
      <c r="R36" s="212" t="s">
        <v>162</v>
      </c>
      <c r="S36" s="208">
        <f>$B$12</f>
        <v>0</v>
      </c>
    </row>
    <row r="37" spans="1:19" ht="45">
      <c r="A37" s="16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69"/>
      <c r="Q37" s="269"/>
      <c r="R37" s="212" t="s">
        <v>142</v>
      </c>
      <c r="S37" s="208">
        <f>$B$14</f>
        <v>0</v>
      </c>
    </row>
    <row r="38" spans="1:19">
      <c r="A38" s="16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69"/>
      <c r="Q38" s="269"/>
      <c r="R38" s="212" t="s">
        <v>143</v>
      </c>
      <c r="S38" s="208">
        <f>$B$15</f>
        <v>0</v>
      </c>
    </row>
    <row r="39" spans="1:19" ht="60">
      <c r="A39" s="16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69"/>
      <c r="Q39" s="269"/>
      <c r="R39" s="212" t="s">
        <v>132</v>
      </c>
      <c r="S39" s="208">
        <f>$B$16</f>
        <v>0</v>
      </c>
    </row>
    <row r="40" spans="1:19">
      <c r="A40" s="16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9">
      <c r="A41" s="16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9">
      <c r="A42" s="16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9">
      <c r="A43" s="16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9">
      <c r="A44" s="16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9">
      <c r="A45" s="16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9">
      <c r="A46" s="16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9">
      <c r="A47" s="16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9">
      <c r="A48" s="16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16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16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16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16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16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16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16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16"/>
      <c r="B56" s="1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16"/>
      <c r="B57" s="1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sheetProtection algorithmName="SHA-512" hashValue="YH4Zo2Qt2A+e98PaNzcAMJfohbBx5+C/hV1frA4igDE/Qq9x7/lQpuntHcP8eaOB3y+ZG9HDGG3ZazMEiboxCQ==" saltValue="4lwUznp1Gr5oLvkEsB/l2w==" spinCount="100000" sheet="1" objects="1" scenarios="1"/>
  <mergeCells count="4">
    <mergeCell ref="P33:P35"/>
    <mergeCell ref="P36:P39"/>
    <mergeCell ref="Q33:Q35"/>
    <mergeCell ref="Q36:Q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0DD5-999F-4A1F-9F5A-B7A8512003EA}">
  <dimension ref="A1:M150"/>
  <sheetViews>
    <sheetView showGridLines="0" topLeftCell="A116" zoomScale="89" zoomScaleNormal="89" workbookViewId="0">
      <selection activeCell="A124" sqref="A124"/>
    </sheetView>
  </sheetViews>
  <sheetFormatPr defaultColWidth="9.140625" defaultRowHeight="15"/>
  <cols>
    <col min="1" max="1" width="48" customWidth="1"/>
    <col min="2" max="2" width="11.5703125" style="5" customWidth="1"/>
    <col min="3" max="3" width="13.28515625" customWidth="1"/>
    <col min="4" max="4" width="16.140625" customWidth="1"/>
    <col min="5" max="5" width="12.28515625" customWidth="1"/>
    <col min="6" max="6" width="5.5703125" customWidth="1"/>
    <col min="7" max="7" width="3.85546875" customWidth="1"/>
    <col min="8" max="8" width="16.140625" customWidth="1"/>
    <col min="9" max="9" width="76.140625" customWidth="1"/>
    <col min="10" max="10" width="3.85546875" customWidth="1"/>
    <col min="11" max="11" width="18.28515625" hidden="1" customWidth="1"/>
    <col min="12" max="12" width="14.85546875" hidden="1" customWidth="1"/>
    <col min="13" max="13" width="125.140625" hidden="1" customWidth="1"/>
  </cols>
  <sheetData>
    <row r="1" spans="1:13" ht="21">
      <c r="A1" s="41" t="s">
        <v>0</v>
      </c>
    </row>
    <row r="2" spans="1:13" ht="26.1" customHeight="1">
      <c r="A2" s="218" t="s">
        <v>10</v>
      </c>
      <c r="B2" s="219"/>
      <c r="C2" s="220"/>
      <c r="D2" s="220"/>
      <c r="E2" s="220"/>
      <c r="F2" s="220"/>
      <c r="G2" s="220"/>
      <c r="H2" s="92" t="s">
        <v>11</v>
      </c>
      <c r="I2" s="94"/>
      <c r="J2" s="94"/>
      <c r="K2" s="4" t="s">
        <v>12</v>
      </c>
      <c r="L2" s="1"/>
      <c r="M2" s="1"/>
    </row>
    <row r="3" spans="1:13" ht="17.45" customHeight="1">
      <c r="A3" s="3" t="s">
        <v>13</v>
      </c>
      <c r="B3" s="255"/>
      <c r="C3" s="255"/>
      <c r="D3" s="255"/>
      <c r="E3" s="3"/>
      <c r="F3" s="2"/>
      <c r="G3" s="2"/>
      <c r="H3" s="2"/>
      <c r="I3" s="2"/>
      <c r="J3" s="2"/>
      <c r="K3" s="12"/>
      <c r="L3" s="12"/>
      <c r="M3" s="12"/>
    </row>
    <row r="4" spans="1:13" ht="17.45" customHeight="1">
      <c r="A4" s="3" t="s">
        <v>14</v>
      </c>
      <c r="B4" s="256"/>
      <c r="C4" s="257"/>
      <c r="D4" s="258"/>
      <c r="E4" s="3"/>
      <c r="F4" s="2"/>
      <c r="G4" s="2"/>
      <c r="H4" s="2"/>
      <c r="I4" s="2"/>
      <c r="J4" s="2"/>
      <c r="K4" s="12"/>
      <c r="L4" s="12"/>
      <c r="M4" s="12"/>
    </row>
    <row r="5" spans="1:13">
      <c r="A5" s="3" t="s">
        <v>15</v>
      </c>
      <c r="B5" s="256"/>
      <c r="C5" s="257"/>
      <c r="D5" s="258"/>
      <c r="E5" s="2"/>
      <c r="F5" s="2"/>
      <c r="G5" s="2"/>
      <c r="H5" s="2"/>
      <c r="I5" s="2"/>
      <c r="J5" s="2"/>
      <c r="K5" s="12"/>
      <c r="L5" s="12"/>
      <c r="M5" s="12"/>
    </row>
    <row r="6" spans="1:13">
      <c r="A6" s="3" t="s">
        <v>16</v>
      </c>
      <c r="B6" s="256"/>
      <c r="C6" s="257"/>
      <c r="D6" s="258"/>
      <c r="E6" s="2"/>
      <c r="F6" s="2"/>
      <c r="G6" s="2"/>
      <c r="H6" s="2"/>
      <c r="I6" s="2"/>
      <c r="J6" s="2"/>
      <c r="K6" s="12"/>
      <c r="L6" s="12"/>
      <c r="M6" s="12"/>
    </row>
    <row r="7" spans="1:13">
      <c r="A7" s="3" t="s">
        <v>17</v>
      </c>
      <c r="B7" s="263"/>
      <c r="C7" s="263"/>
      <c r="D7" s="263"/>
      <c r="E7" s="2"/>
      <c r="F7" s="2"/>
      <c r="G7" s="2"/>
      <c r="H7" s="2"/>
      <c r="I7" s="2"/>
      <c r="J7" s="2"/>
      <c r="K7" s="12"/>
      <c r="L7" s="12"/>
      <c r="M7" s="12"/>
    </row>
    <row r="8" spans="1:13">
      <c r="A8" s="3"/>
      <c r="B8" s="255"/>
      <c r="C8" s="255"/>
      <c r="D8" s="255"/>
      <c r="E8" s="2"/>
      <c r="F8" s="2"/>
      <c r="G8" s="2"/>
      <c r="H8" s="2"/>
      <c r="I8" s="2"/>
      <c r="J8" s="2"/>
      <c r="K8" s="12"/>
      <c r="L8" s="12"/>
      <c r="M8" s="12"/>
    </row>
    <row r="9" spans="1:13">
      <c r="A9" s="3" t="s">
        <v>18</v>
      </c>
      <c r="B9" s="255"/>
      <c r="C9" s="255"/>
      <c r="D9" s="255"/>
      <c r="E9" s="2"/>
      <c r="F9" s="2"/>
      <c r="G9" s="2"/>
      <c r="H9" s="2"/>
      <c r="I9" s="2"/>
      <c r="J9" s="2"/>
      <c r="K9" s="12"/>
      <c r="L9" s="12"/>
      <c r="M9" s="12"/>
    </row>
    <row r="10" spans="1:13">
      <c r="A10" s="3" t="s">
        <v>19</v>
      </c>
      <c r="B10" s="255"/>
      <c r="C10" s="255"/>
      <c r="D10" s="255"/>
      <c r="E10" s="2"/>
      <c r="F10" s="2"/>
      <c r="G10" s="2"/>
      <c r="H10" s="2"/>
      <c r="I10" s="2"/>
      <c r="J10" s="2"/>
      <c r="K10" s="12"/>
      <c r="L10" s="12"/>
      <c r="M10" s="12"/>
    </row>
    <row r="11" spans="1:13">
      <c r="A11" s="3"/>
      <c r="B11" s="2"/>
      <c r="C11" s="2"/>
      <c r="D11" s="2"/>
      <c r="E11" s="2"/>
      <c r="F11" s="2"/>
      <c r="G11" s="2"/>
      <c r="H11" s="2"/>
      <c r="I11" s="2"/>
      <c r="J11" s="2"/>
      <c r="K11" s="12"/>
      <c r="L11" s="12"/>
      <c r="M11" s="12"/>
    </row>
    <row r="12" spans="1:13">
      <c r="A12" s="3"/>
      <c r="B12" s="2"/>
      <c r="C12" s="2"/>
      <c r="D12" s="2"/>
      <c r="E12" s="2"/>
      <c r="F12" s="2"/>
      <c r="G12" s="2"/>
      <c r="H12" s="2"/>
      <c r="I12" s="2"/>
      <c r="J12" s="2"/>
      <c r="K12" s="12"/>
      <c r="L12" s="12"/>
      <c r="M12" s="12"/>
    </row>
    <row r="13" spans="1:13">
      <c r="A13" s="13"/>
      <c r="B13" s="14"/>
      <c r="C13" s="13"/>
      <c r="D13" s="13"/>
      <c r="E13" s="13"/>
      <c r="F13" s="13"/>
      <c r="G13" s="13"/>
      <c r="H13" s="2"/>
      <c r="I13" s="2"/>
      <c r="J13" s="2"/>
      <c r="K13" s="12"/>
      <c r="L13" s="12"/>
      <c r="M13" s="12"/>
    </row>
    <row r="14" spans="1:13" ht="29.1" customHeight="1">
      <c r="A14" s="95" t="s">
        <v>20</v>
      </c>
      <c r="B14" s="96"/>
      <c r="C14" s="97"/>
      <c r="D14" s="97"/>
      <c r="E14" s="97"/>
      <c r="F14" s="98"/>
      <c r="G14" s="13"/>
      <c r="H14" s="6" t="s">
        <v>21</v>
      </c>
      <c r="I14" s="262" t="s">
        <v>22</v>
      </c>
      <c r="J14" s="7"/>
      <c r="K14" s="12"/>
      <c r="L14" s="12"/>
      <c r="M14" s="12"/>
    </row>
    <row r="15" spans="1:13">
      <c r="A15" s="99"/>
      <c r="B15" s="100"/>
      <c r="C15" s="101"/>
      <c r="D15" s="101"/>
      <c r="E15" s="101"/>
      <c r="F15" s="102"/>
      <c r="G15" s="13"/>
      <c r="H15" s="2"/>
      <c r="I15" s="262"/>
      <c r="J15" s="7"/>
      <c r="K15" s="12"/>
      <c r="L15" s="12"/>
      <c r="M15" s="12"/>
    </row>
    <row r="16" spans="1:13">
      <c r="A16" s="103" t="s">
        <v>23</v>
      </c>
      <c r="B16" s="104"/>
      <c r="C16" s="105"/>
      <c r="D16" s="105"/>
      <c r="E16" s="105"/>
      <c r="F16" s="106"/>
      <c r="G16" s="13"/>
      <c r="H16" s="2"/>
      <c r="I16" s="262"/>
      <c r="J16" s="7"/>
      <c r="K16" s="12"/>
      <c r="L16" s="12"/>
      <c r="M16" s="12"/>
    </row>
    <row r="17" spans="1:13">
      <c r="A17" s="114"/>
      <c r="B17" s="100"/>
      <c r="C17" s="101"/>
      <c r="D17" s="101"/>
      <c r="E17" s="101"/>
      <c r="F17" s="102"/>
      <c r="G17" s="13"/>
      <c r="H17" s="2"/>
      <c r="I17" s="7"/>
      <c r="J17" s="7"/>
      <c r="K17" s="12"/>
      <c r="L17" s="12"/>
      <c r="M17" s="12"/>
    </row>
    <row r="18" spans="1:13" ht="45">
      <c r="A18" s="107" t="s">
        <v>24</v>
      </c>
      <c r="B18" s="108" t="s">
        <v>25</v>
      </c>
      <c r="C18" s="108" t="s">
        <v>26</v>
      </c>
      <c r="D18" s="109" t="s">
        <v>27</v>
      </c>
      <c r="E18" s="109" t="s">
        <v>28</v>
      </c>
      <c r="F18" s="102"/>
      <c r="G18" s="13"/>
      <c r="H18" s="40" t="s">
        <v>29</v>
      </c>
      <c r="I18" s="262" t="s">
        <v>30</v>
      </c>
      <c r="J18" s="7"/>
      <c r="K18" s="123" t="s">
        <v>31</v>
      </c>
      <c r="L18" s="123" t="s">
        <v>32</v>
      </c>
      <c r="M18" s="123" t="s">
        <v>33</v>
      </c>
    </row>
    <row r="19" spans="1:13">
      <c r="A19" s="115" t="s">
        <v>34</v>
      </c>
      <c r="B19" s="55" t="s">
        <v>40</v>
      </c>
      <c r="C19" s="66"/>
      <c r="D19" s="119" t="str">
        <f t="shared" ref="D19:D29" si="0">IF(C19&gt;0,K19,"")</f>
        <v/>
      </c>
      <c r="E19" s="153" t="str">
        <f t="shared" ref="E19:E29" si="1">IF(C19&gt;0,C19*K19,"")</f>
        <v/>
      </c>
      <c r="F19" s="102"/>
      <c r="G19" s="13"/>
      <c r="H19" s="2"/>
      <c r="I19" s="262"/>
      <c r="J19" s="7"/>
      <c r="K19" s="11">
        <f>VLOOKUP(B19,Erdgas[],2)</f>
        <v>2.02</v>
      </c>
      <c r="L19" s="11" t="str">
        <f t="shared" ref="L19:L28" si="2">B19</f>
        <v>m3</v>
      </c>
      <c r="M19" s="30" t="s">
        <v>36</v>
      </c>
    </row>
    <row r="20" spans="1:13">
      <c r="A20" s="115" t="s">
        <v>37</v>
      </c>
      <c r="B20" s="55" t="s">
        <v>38</v>
      </c>
      <c r="C20" s="66"/>
      <c r="D20" s="119" t="str">
        <f t="shared" si="0"/>
        <v/>
      </c>
      <c r="E20" s="153" t="str">
        <f t="shared" si="1"/>
        <v/>
      </c>
      <c r="F20" s="102"/>
      <c r="G20" s="13"/>
      <c r="H20" s="2"/>
      <c r="I20" s="262"/>
      <c r="J20" s="7"/>
      <c r="K20" s="11">
        <f>VLOOKUP(B20,Fluessiggas[],2,0)</f>
        <v>2.98</v>
      </c>
      <c r="L20" s="11" t="str">
        <f t="shared" si="2"/>
        <v>kg</v>
      </c>
      <c r="M20" s="30" t="s">
        <v>36</v>
      </c>
    </row>
    <row r="21" spans="1:13">
      <c r="A21" s="115" t="s">
        <v>39</v>
      </c>
      <c r="B21" s="55" t="s">
        <v>40</v>
      </c>
      <c r="C21" s="66"/>
      <c r="D21" s="119" t="str">
        <f t="shared" si="0"/>
        <v/>
      </c>
      <c r="E21" s="153" t="str">
        <f t="shared" si="1"/>
        <v/>
      </c>
      <c r="F21" s="102"/>
      <c r="G21" s="13"/>
      <c r="H21" s="2"/>
      <c r="I21" s="262"/>
      <c r="J21" s="7"/>
      <c r="K21" s="11">
        <f>VLOOKUP(B21,Propan[],2)</f>
        <v>1.51</v>
      </c>
      <c r="L21" s="11" t="str">
        <f t="shared" si="2"/>
        <v>m3</v>
      </c>
      <c r="M21" s="30" t="s">
        <v>36</v>
      </c>
    </row>
    <row r="22" spans="1:13">
      <c r="A22" s="115" t="s">
        <v>41</v>
      </c>
      <c r="B22" s="55" t="s">
        <v>35</v>
      </c>
      <c r="C22" s="66"/>
      <c r="D22" s="119" t="str">
        <f t="shared" si="0"/>
        <v/>
      </c>
      <c r="E22" s="153" t="str">
        <f t="shared" si="1"/>
        <v/>
      </c>
      <c r="F22" s="102"/>
      <c r="G22" s="13"/>
      <c r="H22" s="2"/>
      <c r="I22" s="262"/>
      <c r="J22" s="7"/>
      <c r="K22" s="11">
        <f>VLOOKUP(B22,Heizoel[],2,0)</f>
        <v>0.26700000000000002</v>
      </c>
      <c r="L22" s="11" t="str">
        <f t="shared" si="2"/>
        <v>kWh</v>
      </c>
      <c r="M22" s="30" t="s">
        <v>36</v>
      </c>
    </row>
    <row r="23" spans="1:13">
      <c r="A23" s="115" t="s">
        <v>42</v>
      </c>
      <c r="B23" s="55" t="s">
        <v>35</v>
      </c>
      <c r="C23" s="66"/>
      <c r="D23" s="119" t="str">
        <f t="shared" si="0"/>
        <v/>
      </c>
      <c r="E23" s="153" t="str">
        <f t="shared" si="1"/>
        <v/>
      </c>
      <c r="F23" s="102"/>
      <c r="G23" s="13"/>
      <c r="H23" s="2"/>
      <c r="I23" s="262"/>
      <c r="J23" s="7"/>
      <c r="K23" s="11">
        <f>VLOOKUP(B23,Biogas[],2)</f>
        <v>0.152</v>
      </c>
      <c r="L23" s="11" t="str">
        <f t="shared" si="2"/>
        <v>kWh</v>
      </c>
      <c r="M23" s="30" t="s">
        <v>36</v>
      </c>
    </row>
    <row r="24" spans="1:13">
      <c r="A24" s="115" t="s">
        <v>43</v>
      </c>
      <c r="B24" s="55" t="s">
        <v>35</v>
      </c>
      <c r="C24" s="66"/>
      <c r="D24" s="119" t="str">
        <f t="shared" si="0"/>
        <v/>
      </c>
      <c r="E24" s="153" t="str">
        <f t="shared" si="1"/>
        <v/>
      </c>
      <c r="F24" s="102"/>
      <c r="G24" s="13"/>
      <c r="H24" s="2"/>
      <c r="I24" s="7"/>
      <c r="J24" s="7"/>
      <c r="K24" s="11">
        <f>VLOOKUP(B24,Biooel[],2)</f>
        <v>0.11700000000000001</v>
      </c>
      <c r="L24" s="11" t="str">
        <f>B24</f>
        <v>kWh</v>
      </c>
      <c r="M24" s="30" t="s">
        <v>36</v>
      </c>
    </row>
    <row r="25" spans="1:13">
      <c r="A25" s="115" t="s">
        <v>44</v>
      </c>
      <c r="B25" s="55" t="s">
        <v>38</v>
      </c>
      <c r="C25" s="66"/>
      <c r="D25" s="119" t="str">
        <f t="shared" si="0"/>
        <v/>
      </c>
      <c r="E25" s="153" t="str">
        <f t="shared" si="1"/>
        <v/>
      </c>
      <c r="F25" s="102"/>
      <c r="G25" s="13"/>
      <c r="H25" s="2"/>
      <c r="I25" s="2"/>
      <c r="J25" s="2"/>
      <c r="K25" s="11">
        <f>VLOOKUP(B25,Brennholz[],2,0)</f>
        <v>0.11</v>
      </c>
      <c r="L25" s="11" t="str">
        <f t="shared" si="2"/>
        <v>kg</v>
      </c>
      <c r="M25" s="30" t="s">
        <v>36</v>
      </c>
    </row>
    <row r="26" spans="1:13">
      <c r="A26" s="115" t="s">
        <v>45</v>
      </c>
      <c r="B26" s="55" t="s">
        <v>35</v>
      </c>
      <c r="C26" s="66"/>
      <c r="D26" s="119" t="str">
        <f t="shared" si="0"/>
        <v/>
      </c>
      <c r="E26" s="153" t="str">
        <f t="shared" si="1"/>
        <v/>
      </c>
      <c r="F26" s="102"/>
      <c r="G26" s="13"/>
      <c r="H26" s="2"/>
      <c r="I26" s="2"/>
      <c r="J26" s="2"/>
      <c r="K26" s="11">
        <f>VLOOKUP(B26,Holzpellets[],2,0)</f>
        <v>3.5999999999999997E-2</v>
      </c>
      <c r="L26" s="11" t="str">
        <f t="shared" si="2"/>
        <v>kWh</v>
      </c>
      <c r="M26" s="30" t="s">
        <v>36</v>
      </c>
    </row>
    <row r="27" spans="1:13">
      <c r="A27" s="115" t="s">
        <v>46</v>
      </c>
      <c r="B27" s="55" t="s">
        <v>47</v>
      </c>
      <c r="C27" s="66"/>
      <c r="D27" s="119" t="str">
        <f t="shared" si="0"/>
        <v/>
      </c>
      <c r="E27" s="153" t="str">
        <f t="shared" si="1"/>
        <v/>
      </c>
      <c r="F27" s="102"/>
      <c r="G27" s="13"/>
      <c r="H27" s="2"/>
      <c r="I27" s="2"/>
      <c r="J27" s="2"/>
      <c r="K27" s="11">
        <f>VLOOKUP(B27,Hackschnitzel[],2,0)</f>
        <v>9.7439999999999998</v>
      </c>
      <c r="L27" s="11" t="str">
        <f t="shared" si="2"/>
        <v>msr</v>
      </c>
      <c r="M27" s="30" t="s">
        <v>36</v>
      </c>
    </row>
    <row r="28" spans="1:13">
      <c r="A28" s="115" t="s">
        <v>48</v>
      </c>
      <c r="B28" s="55" t="s">
        <v>35</v>
      </c>
      <c r="C28" s="66"/>
      <c r="D28" s="119" t="str">
        <f t="shared" si="0"/>
        <v/>
      </c>
      <c r="E28" s="153" t="str">
        <f t="shared" si="1"/>
        <v/>
      </c>
      <c r="F28" s="102"/>
      <c r="G28" s="13"/>
      <c r="H28" s="2"/>
      <c r="I28" s="2"/>
      <c r="J28" s="2"/>
      <c r="K28" s="11">
        <f>VLOOKUP(B28,Grey_H2[],2,0)</f>
        <v>0.39800000000000002</v>
      </c>
      <c r="L28" s="11" t="str">
        <f t="shared" si="2"/>
        <v>kWh</v>
      </c>
      <c r="M28" s="30" t="s">
        <v>36</v>
      </c>
    </row>
    <row r="29" spans="1:13">
      <c r="A29" s="115" t="s">
        <v>49</v>
      </c>
      <c r="B29" s="55" t="s">
        <v>35</v>
      </c>
      <c r="C29" s="66"/>
      <c r="D29" s="119" t="str">
        <f t="shared" si="0"/>
        <v/>
      </c>
      <c r="E29" s="153" t="str">
        <f t="shared" si="1"/>
        <v/>
      </c>
      <c r="F29" s="102"/>
      <c r="G29" s="13"/>
      <c r="H29" s="2"/>
      <c r="I29" s="2"/>
      <c r="J29" s="2"/>
      <c r="K29" s="11">
        <f>VLOOKUP(B29,Green_H2[],2,0)</f>
        <v>2.5999999999999999E-2</v>
      </c>
      <c r="L29" s="11" t="str">
        <f>B28</f>
        <v>kWh</v>
      </c>
      <c r="M29" s="30" t="s">
        <v>36</v>
      </c>
    </row>
    <row r="30" spans="1:13" ht="15" customHeight="1">
      <c r="A30" s="110" t="s">
        <v>50</v>
      </c>
      <c r="B30" s="104"/>
      <c r="C30" s="111"/>
      <c r="D30" s="112"/>
      <c r="E30" s="154"/>
      <c r="F30" s="102"/>
      <c r="G30" s="13"/>
      <c r="H30" s="2"/>
      <c r="I30" s="16" t="s">
        <v>51</v>
      </c>
      <c r="J30" s="2"/>
      <c r="K30" s="12"/>
      <c r="L30" s="12"/>
      <c r="M30" s="12"/>
    </row>
    <row r="31" spans="1:13" ht="15" customHeight="1">
      <c r="A31" s="56"/>
      <c r="B31" s="55"/>
      <c r="C31" s="66"/>
      <c r="D31" s="80"/>
      <c r="E31" s="153" t="str">
        <f>IF(C31&gt;0,C31*D31,"")</f>
        <v/>
      </c>
      <c r="F31" s="102"/>
      <c r="G31" s="13"/>
      <c r="H31" s="2"/>
      <c r="I31" s="16"/>
      <c r="J31" s="2"/>
      <c r="K31" s="12"/>
      <c r="L31" s="12"/>
      <c r="M31" s="12"/>
    </row>
    <row r="32" spans="1:13" ht="15" customHeight="1">
      <c r="A32" s="56"/>
      <c r="B32" s="55"/>
      <c r="C32" s="66"/>
      <c r="D32" s="80"/>
      <c r="E32" s="153" t="str">
        <f>IF(C32&gt;0,C32*D32,"")</f>
        <v/>
      </c>
      <c r="F32" s="102"/>
      <c r="G32" s="13"/>
      <c r="H32" s="2"/>
      <c r="I32" s="16"/>
      <c r="J32" s="2"/>
      <c r="K32" s="12"/>
      <c r="L32" s="12"/>
      <c r="M32" s="12"/>
    </row>
    <row r="33" spans="1:13" ht="15" customHeight="1">
      <c r="A33" s="56"/>
      <c r="B33" s="55"/>
      <c r="C33" s="66"/>
      <c r="D33" s="80"/>
      <c r="E33" s="153" t="str">
        <f>IF(C33&gt;0,C33*D33,"")</f>
        <v/>
      </c>
      <c r="F33" s="102"/>
      <c r="G33" s="13"/>
      <c r="H33" s="2"/>
      <c r="I33" s="16"/>
      <c r="J33" s="2"/>
      <c r="K33" s="12"/>
      <c r="L33" s="12"/>
      <c r="M33" s="12"/>
    </row>
    <row r="34" spans="1:13">
      <c r="A34" s="99"/>
      <c r="B34" s="100"/>
      <c r="C34" s="101"/>
      <c r="D34" s="101"/>
      <c r="E34" s="101"/>
      <c r="F34" s="102"/>
      <c r="G34" s="13"/>
      <c r="H34" s="2"/>
      <c r="I34" s="2"/>
      <c r="J34" s="2"/>
      <c r="K34" s="12"/>
      <c r="L34" s="12"/>
      <c r="M34" s="12"/>
    </row>
    <row r="35" spans="1:13" ht="17.100000000000001" customHeight="1">
      <c r="A35" s="103" t="s">
        <v>52</v>
      </c>
      <c r="B35" s="116"/>
      <c r="C35" s="105"/>
      <c r="D35" s="105"/>
      <c r="E35" s="105"/>
      <c r="F35" s="106"/>
      <c r="G35" s="13"/>
      <c r="H35" s="2"/>
      <c r="I35" s="2"/>
      <c r="J35" s="2"/>
      <c r="K35" s="12"/>
      <c r="L35" s="12"/>
      <c r="M35" s="12"/>
    </row>
    <row r="36" spans="1:13" ht="18.95" customHeight="1">
      <c r="A36" s="99"/>
      <c r="B36" s="100"/>
      <c r="C36" s="117"/>
      <c r="D36" s="117"/>
      <c r="E36" s="117"/>
      <c r="F36" s="102"/>
      <c r="G36" s="13"/>
      <c r="H36" s="2"/>
      <c r="I36" s="2"/>
      <c r="J36" s="2"/>
      <c r="K36" s="12"/>
      <c r="L36" s="12"/>
      <c r="M36" s="12"/>
    </row>
    <row r="37" spans="1:13" ht="45">
      <c r="A37" s="122" t="s">
        <v>53</v>
      </c>
      <c r="B37" s="108" t="s">
        <v>25</v>
      </c>
      <c r="C37" s="108" t="s">
        <v>26</v>
      </c>
      <c r="D37" s="109" t="s">
        <v>54</v>
      </c>
      <c r="E37" s="109" t="s">
        <v>28</v>
      </c>
      <c r="F37" s="102"/>
      <c r="G37" s="13"/>
      <c r="H37" s="2" t="s">
        <v>55</v>
      </c>
      <c r="I37" s="262" t="s">
        <v>56</v>
      </c>
      <c r="J37" s="7"/>
      <c r="K37" s="123" t="s">
        <v>31</v>
      </c>
      <c r="L37" s="123" t="s">
        <v>32</v>
      </c>
      <c r="M37" s="123" t="s">
        <v>33</v>
      </c>
    </row>
    <row r="38" spans="1:13">
      <c r="A38" s="56" t="s">
        <v>57</v>
      </c>
      <c r="B38" s="118" t="s">
        <v>38</v>
      </c>
      <c r="C38" s="67"/>
      <c r="D38" s="155" t="str">
        <f>IF(C38&gt;0,K38,"")</f>
        <v/>
      </c>
      <c r="E38" s="159" t="str">
        <f>IF(C38&gt;0,C38*K38,"")</f>
        <v/>
      </c>
      <c r="F38" s="102"/>
      <c r="G38" s="13"/>
      <c r="H38" s="2"/>
      <c r="I38" s="262"/>
      <c r="J38" s="7"/>
      <c r="K38" s="11">
        <f>VLOOKUP(A38,Kaeltemittel_IT[],2,0)</f>
        <v>0</v>
      </c>
      <c r="L38" s="11" t="s">
        <v>58</v>
      </c>
      <c r="M38" s="11" t="s">
        <v>59</v>
      </c>
    </row>
    <row r="39" spans="1:13">
      <c r="A39" s="56" t="s">
        <v>57</v>
      </c>
      <c r="B39" s="118" t="s">
        <v>38</v>
      </c>
      <c r="C39" s="67"/>
      <c r="D39" s="155" t="str">
        <f>IF(C39&gt;0,K39,"")</f>
        <v/>
      </c>
      <c r="E39" s="159" t="str">
        <f>IF(C39&gt;0,C39*K39,"")</f>
        <v/>
      </c>
      <c r="F39" s="102"/>
      <c r="G39" s="13"/>
      <c r="H39" s="2"/>
      <c r="I39" s="262"/>
      <c r="J39" s="7"/>
      <c r="K39" s="11">
        <f>VLOOKUP(A39,Kaeltemittel_IT[],2,0)</f>
        <v>0</v>
      </c>
      <c r="L39" s="11" t="s">
        <v>58</v>
      </c>
      <c r="M39" s="11" t="s">
        <v>59</v>
      </c>
    </row>
    <row r="40" spans="1:13">
      <c r="A40" s="56" t="s">
        <v>57</v>
      </c>
      <c r="B40" s="118" t="s">
        <v>38</v>
      </c>
      <c r="C40" s="67"/>
      <c r="D40" s="155" t="str">
        <f>IF(C40&gt;0,K40,"")</f>
        <v/>
      </c>
      <c r="E40" s="159" t="str">
        <f>IF(C40&gt;0,C40*K40,"")</f>
        <v/>
      </c>
      <c r="F40" s="102"/>
      <c r="G40" s="13"/>
      <c r="H40" s="2"/>
      <c r="I40" s="262"/>
      <c r="J40" s="7"/>
      <c r="K40" s="11">
        <f>VLOOKUP(A40,Kaeltemittel_IT[],2,0)</f>
        <v>0</v>
      </c>
      <c r="L40" s="11" t="s">
        <v>58</v>
      </c>
      <c r="M40" s="11" t="s">
        <v>59</v>
      </c>
    </row>
    <row r="41" spans="1:13">
      <c r="A41" s="110" t="s">
        <v>50</v>
      </c>
      <c r="B41" s="104"/>
      <c r="C41" s="120"/>
      <c r="D41" s="156"/>
      <c r="E41" s="160" t="str">
        <f>IF(C41&gt;0,C41*D41,"")</f>
        <v/>
      </c>
      <c r="F41" s="102"/>
      <c r="G41" s="13"/>
      <c r="H41" s="2"/>
      <c r="I41" s="262"/>
      <c r="J41" s="7"/>
      <c r="K41" s="12"/>
      <c r="L41" s="12"/>
      <c r="M41" s="12"/>
    </row>
    <row r="42" spans="1:13">
      <c r="A42" s="57"/>
      <c r="B42" s="118" t="s">
        <v>38</v>
      </c>
      <c r="C42" s="67"/>
      <c r="D42" s="157"/>
      <c r="E42" s="159" t="str">
        <f>IF(C42&gt;0,C42*D42,"")</f>
        <v/>
      </c>
      <c r="F42" s="102"/>
      <c r="G42" s="13"/>
      <c r="H42" s="2"/>
      <c r="I42" s="262"/>
      <c r="J42" s="7"/>
      <c r="K42" s="12"/>
      <c r="L42" s="12"/>
      <c r="M42" s="12"/>
    </row>
    <row r="43" spans="1:13" ht="17.45" customHeight="1">
      <c r="A43" s="99"/>
      <c r="B43" s="100"/>
      <c r="C43" s="101"/>
      <c r="D43" s="101"/>
      <c r="E43" s="101"/>
      <c r="F43" s="102"/>
      <c r="G43" s="13"/>
      <c r="H43" s="2"/>
      <c r="I43" s="262"/>
      <c r="J43" s="7"/>
      <c r="K43" s="12"/>
      <c r="L43" s="12"/>
      <c r="M43" s="12"/>
    </row>
    <row r="44" spans="1:13">
      <c r="A44" s="103" t="s">
        <v>60</v>
      </c>
      <c r="B44" s="104"/>
      <c r="C44" s="105"/>
      <c r="D44" s="105"/>
      <c r="E44" s="105"/>
      <c r="F44" s="106"/>
      <c r="G44" s="13"/>
      <c r="H44" s="2" t="s">
        <v>61</v>
      </c>
      <c r="I44" s="262" t="s">
        <v>62</v>
      </c>
      <c r="J44" s="7"/>
      <c r="K44" s="12"/>
      <c r="L44" s="12"/>
      <c r="M44" s="12"/>
    </row>
    <row r="45" spans="1:13" ht="16.149999999999999" customHeight="1">
      <c r="A45" s="99"/>
      <c r="B45" s="100"/>
      <c r="C45" s="117"/>
      <c r="D45" s="117"/>
      <c r="E45" s="117"/>
      <c r="F45" s="102"/>
      <c r="G45" s="13"/>
      <c r="H45" s="2"/>
      <c r="I45" s="262"/>
      <c r="J45" s="7"/>
      <c r="K45" s="12"/>
      <c r="L45" s="12"/>
      <c r="M45" s="12"/>
    </row>
    <row r="46" spans="1:13" ht="45">
      <c r="A46" s="124" t="s">
        <v>63</v>
      </c>
      <c r="B46" s="108" t="s">
        <v>25</v>
      </c>
      <c r="C46" s="108" t="s">
        <v>26</v>
      </c>
      <c r="D46" s="109" t="s">
        <v>27</v>
      </c>
      <c r="E46" s="109" t="s">
        <v>28</v>
      </c>
      <c r="F46" s="102"/>
      <c r="G46" s="13"/>
      <c r="H46" s="2"/>
      <c r="I46" s="2"/>
      <c r="J46" s="2"/>
      <c r="K46" s="123" t="s">
        <v>31</v>
      </c>
      <c r="L46" s="123" t="s">
        <v>32</v>
      </c>
      <c r="M46" s="123" t="s">
        <v>33</v>
      </c>
    </row>
    <row r="47" spans="1:13" ht="21.6" customHeight="1">
      <c r="A47" s="99" t="s">
        <v>64</v>
      </c>
      <c r="B47" s="118" t="s">
        <v>65</v>
      </c>
      <c r="C47" s="71"/>
      <c r="D47" s="119" t="str">
        <f t="shared" ref="D47:D56" si="3">IF(C47&gt;0,K47,"")</f>
        <v/>
      </c>
      <c r="E47" s="153" t="str">
        <f t="shared" ref="E47:E55" si="4">IF(C47&gt;0,C47*D47,"")</f>
        <v/>
      </c>
      <c r="F47" s="102"/>
      <c r="G47" s="13"/>
      <c r="H47" s="267" t="s">
        <v>66</v>
      </c>
      <c r="I47" s="262" t="s">
        <v>67</v>
      </c>
      <c r="J47" s="7"/>
      <c r="K47" s="82">
        <v>2.879</v>
      </c>
      <c r="L47" s="11" t="s">
        <v>68</v>
      </c>
      <c r="M47" s="11" t="s">
        <v>69</v>
      </c>
    </row>
    <row r="48" spans="1:13">
      <c r="A48" s="133" t="s">
        <v>70</v>
      </c>
      <c r="B48" s="118" t="s">
        <v>65</v>
      </c>
      <c r="C48" s="71"/>
      <c r="D48" s="119" t="str">
        <f t="shared" si="3"/>
        <v/>
      </c>
      <c r="E48" s="153" t="str">
        <f t="shared" si="4"/>
        <v/>
      </c>
      <c r="F48" s="102"/>
      <c r="G48" s="13"/>
      <c r="H48" s="262"/>
      <c r="I48" s="262"/>
      <c r="J48" s="7"/>
      <c r="K48" s="82">
        <v>3.1</v>
      </c>
      <c r="L48" s="11" t="s">
        <v>68</v>
      </c>
      <c r="M48" s="11" t="s">
        <v>69</v>
      </c>
    </row>
    <row r="49" spans="1:13">
      <c r="A49" s="133" t="s">
        <v>71</v>
      </c>
      <c r="B49" s="118" t="s">
        <v>65</v>
      </c>
      <c r="C49" s="71"/>
      <c r="D49" s="119" t="str">
        <f t="shared" si="3"/>
        <v/>
      </c>
      <c r="E49" s="153" t="str">
        <f t="shared" si="4"/>
        <v/>
      </c>
      <c r="F49" s="102"/>
      <c r="G49" s="13"/>
      <c r="H49" s="2"/>
      <c r="I49" s="262"/>
      <c r="J49" s="7"/>
      <c r="K49" s="82">
        <v>0.81200000000000006</v>
      </c>
      <c r="L49" s="11" t="s">
        <v>68</v>
      </c>
      <c r="M49" s="11" t="s">
        <v>72</v>
      </c>
    </row>
    <row r="50" spans="1:13">
      <c r="A50" s="133" t="s">
        <v>73</v>
      </c>
      <c r="B50" s="118" t="s">
        <v>65</v>
      </c>
      <c r="C50" s="71"/>
      <c r="D50" s="119" t="str">
        <f t="shared" si="3"/>
        <v/>
      </c>
      <c r="E50" s="153" t="str">
        <f t="shared" si="4"/>
        <v/>
      </c>
      <c r="F50" s="102"/>
      <c r="G50" s="13"/>
      <c r="H50" s="2"/>
      <c r="I50" s="262"/>
      <c r="J50" s="7"/>
      <c r="K50" s="82">
        <v>0.439</v>
      </c>
      <c r="L50" s="11" t="s">
        <v>68</v>
      </c>
      <c r="M50" s="11" t="s">
        <v>72</v>
      </c>
    </row>
    <row r="51" spans="1:13">
      <c r="A51" s="133" t="s">
        <v>74</v>
      </c>
      <c r="B51" s="118" t="s">
        <v>38</v>
      </c>
      <c r="C51" s="71"/>
      <c r="D51" s="119" t="str">
        <f t="shared" si="3"/>
        <v/>
      </c>
      <c r="E51" s="153" t="str">
        <f t="shared" si="4"/>
        <v/>
      </c>
      <c r="F51" s="102"/>
      <c r="G51" s="13"/>
      <c r="H51" s="2"/>
      <c r="I51" s="262"/>
      <c r="J51" s="7"/>
      <c r="K51" s="82">
        <v>1.544</v>
      </c>
      <c r="L51" s="11" t="s">
        <v>75</v>
      </c>
      <c r="M51" s="11" t="s">
        <v>76</v>
      </c>
    </row>
    <row r="52" spans="1:13">
      <c r="A52" s="133" t="s">
        <v>77</v>
      </c>
      <c r="B52" s="118" t="s">
        <v>38</v>
      </c>
      <c r="C52" s="71"/>
      <c r="D52" s="119" t="str">
        <f t="shared" si="3"/>
        <v/>
      </c>
      <c r="E52" s="153" t="str">
        <f t="shared" si="4"/>
        <v/>
      </c>
      <c r="F52" s="102"/>
      <c r="G52" s="13"/>
      <c r="H52" s="2"/>
      <c r="I52" s="262"/>
      <c r="J52" s="7"/>
      <c r="K52" s="82">
        <v>2.98</v>
      </c>
      <c r="L52" s="11" t="s">
        <v>75</v>
      </c>
      <c r="M52" s="11" t="s">
        <v>78</v>
      </c>
    </row>
    <row r="53" spans="1:13">
      <c r="A53" s="133" t="s">
        <v>79</v>
      </c>
      <c r="B53" s="118" t="s">
        <v>65</v>
      </c>
      <c r="C53" s="71"/>
      <c r="D53" s="119" t="str">
        <f t="shared" si="3"/>
        <v/>
      </c>
      <c r="E53" s="153" t="str">
        <f t="shared" si="4"/>
        <v/>
      </c>
      <c r="F53" s="102"/>
      <c r="G53" s="13"/>
      <c r="H53" s="2"/>
      <c r="I53" s="262"/>
      <c r="J53" s="7"/>
      <c r="K53" s="82">
        <v>2.036</v>
      </c>
      <c r="L53" s="11" t="s">
        <v>68</v>
      </c>
      <c r="M53" s="11" t="s">
        <v>69</v>
      </c>
    </row>
    <row r="54" spans="1:13">
      <c r="A54" s="115" t="s">
        <v>48</v>
      </c>
      <c r="B54" s="118" t="s">
        <v>38</v>
      </c>
      <c r="C54" s="71"/>
      <c r="D54" s="119" t="str">
        <f t="shared" si="3"/>
        <v/>
      </c>
      <c r="E54" s="153" t="str">
        <f t="shared" si="4"/>
        <v/>
      </c>
      <c r="F54" s="102"/>
      <c r="G54" s="13"/>
      <c r="H54" s="2"/>
      <c r="I54" s="7"/>
      <c r="J54" s="7"/>
      <c r="K54" s="82">
        <v>13.24</v>
      </c>
      <c r="L54" s="11" t="s">
        <v>75</v>
      </c>
      <c r="M54" s="11" t="s">
        <v>80</v>
      </c>
    </row>
    <row r="55" spans="1:13">
      <c r="A55" s="115" t="s">
        <v>49</v>
      </c>
      <c r="B55" s="118" t="s">
        <v>38</v>
      </c>
      <c r="C55" s="71"/>
      <c r="D55" s="119" t="str">
        <f t="shared" si="3"/>
        <v/>
      </c>
      <c r="E55" s="153" t="str">
        <f t="shared" si="4"/>
        <v/>
      </c>
      <c r="F55" s="102"/>
      <c r="G55" s="13"/>
      <c r="H55" s="2"/>
      <c r="I55" s="7"/>
      <c r="J55" s="7"/>
      <c r="K55" s="82">
        <v>0.88</v>
      </c>
      <c r="L55" s="11" t="s">
        <v>75</v>
      </c>
      <c r="M55" s="11" t="s">
        <v>80</v>
      </c>
    </row>
    <row r="56" spans="1:13" ht="15" customHeight="1">
      <c r="A56" s="134" t="s">
        <v>81</v>
      </c>
      <c r="B56" s="118" t="s">
        <v>35</v>
      </c>
      <c r="C56" s="71"/>
      <c r="D56" s="119" t="str">
        <f t="shared" si="3"/>
        <v/>
      </c>
      <c r="E56" s="153" t="str">
        <f>IF(B57="ja",0,(IF(C56="","",C56*K56)))</f>
        <v/>
      </c>
      <c r="F56" s="102"/>
      <c r="G56" s="13"/>
      <c r="H56" s="264" t="s">
        <v>82</v>
      </c>
      <c r="I56" s="262" t="s">
        <v>83</v>
      </c>
      <c r="J56" s="2"/>
      <c r="K56" s="82">
        <v>0.28920000000000001</v>
      </c>
      <c r="L56" s="11" t="s">
        <v>84</v>
      </c>
      <c r="M56" s="11" t="s">
        <v>85</v>
      </c>
    </row>
    <row r="57" spans="1:13">
      <c r="A57" s="125" t="s">
        <v>86</v>
      </c>
      <c r="B57" s="55" t="s">
        <v>87</v>
      </c>
      <c r="C57" s="104"/>
      <c r="D57" s="112"/>
      <c r="E57" s="154"/>
      <c r="F57" s="102"/>
      <c r="G57" s="13"/>
      <c r="H57" s="265"/>
      <c r="I57" s="262"/>
      <c r="J57" s="2"/>
      <c r="K57" s="12"/>
      <c r="L57" s="12"/>
      <c r="M57" s="12"/>
    </row>
    <row r="58" spans="1:13">
      <c r="A58" s="126" t="s">
        <v>88</v>
      </c>
      <c r="B58" s="127" t="s">
        <v>84</v>
      </c>
      <c r="C58" s="58"/>
      <c r="D58" s="112"/>
      <c r="E58" s="153" t="str">
        <f>IF(C58="","",C56*C58)</f>
        <v/>
      </c>
      <c r="F58" s="102"/>
      <c r="G58" s="13"/>
      <c r="H58" s="265"/>
      <c r="I58" s="262"/>
      <c r="J58" s="2"/>
      <c r="K58" s="12"/>
      <c r="L58" s="12"/>
      <c r="M58" s="12"/>
    </row>
    <row r="59" spans="1:13">
      <c r="A59" s="110" t="s">
        <v>50</v>
      </c>
      <c r="B59" s="127"/>
      <c r="C59" s="128"/>
      <c r="D59" s="129"/>
      <c r="E59" s="158"/>
      <c r="F59" s="102"/>
      <c r="G59" s="13"/>
      <c r="H59" s="2"/>
      <c r="I59" s="7"/>
      <c r="J59" s="2"/>
      <c r="K59" s="12"/>
      <c r="L59" s="12"/>
      <c r="M59" s="12"/>
    </row>
    <row r="60" spans="1:13">
      <c r="A60" s="57"/>
      <c r="B60" s="59"/>
      <c r="C60" s="72"/>
      <c r="D60" s="81"/>
      <c r="E60" s="159" t="str">
        <f>IF(C60&gt;0,C60*D60,"")</f>
        <v/>
      </c>
      <c r="F60" s="102"/>
      <c r="G60" s="13"/>
      <c r="H60" s="2"/>
      <c r="I60" s="2"/>
      <c r="J60" s="2"/>
      <c r="K60" s="12"/>
      <c r="L60" s="12"/>
      <c r="M60" s="12"/>
    </row>
    <row r="61" spans="1:13">
      <c r="A61" s="56"/>
      <c r="B61" s="59"/>
      <c r="C61" s="72"/>
      <c r="D61" s="81"/>
      <c r="E61" s="159" t="str">
        <f t="shared" ref="E61:E62" si="5">IF(C61&gt;0,C61*D61,"")</f>
        <v/>
      </c>
      <c r="F61" s="102"/>
      <c r="G61" s="13"/>
      <c r="H61" s="2"/>
      <c r="I61" s="2"/>
      <c r="J61" s="2"/>
      <c r="K61" s="12"/>
      <c r="L61" s="12"/>
      <c r="M61" s="12"/>
    </row>
    <row r="62" spans="1:13">
      <c r="A62" s="56"/>
      <c r="B62" s="59"/>
      <c r="C62" s="72"/>
      <c r="D62" s="81"/>
      <c r="E62" s="159" t="str">
        <f t="shared" si="5"/>
        <v/>
      </c>
      <c r="F62" s="102"/>
      <c r="G62" s="13"/>
      <c r="H62" s="2"/>
      <c r="I62" s="2"/>
      <c r="J62" s="2"/>
      <c r="K62" s="12"/>
      <c r="L62" s="12"/>
      <c r="M62" s="12"/>
    </row>
    <row r="63" spans="1:13" ht="15.75" thickBot="1">
      <c r="A63" s="99"/>
      <c r="B63" s="100"/>
      <c r="C63" s="101"/>
      <c r="D63" s="101"/>
      <c r="E63" s="101"/>
      <c r="F63" s="102"/>
      <c r="G63" s="13"/>
      <c r="H63" s="2"/>
      <c r="I63" s="2"/>
      <c r="J63" s="2"/>
      <c r="K63" s="12"/>
      <c r="L63" s="12"/>
      <c r="M63" s="12"/>
    </row>
    <row r="64" spans="1:13" ht="30" customHeight="1" thickBot="1">
      <c r="A64" s="259" t="s">
        <v>89</v>
      </c>
      <c r="B64" s="260"/>
      <c r="C64" s="260"/>
      <c r="D64" s="260"/>
      <c r="E64" s="261"/>
      <c r="F64" s="102"/>
      <c r="G64" s="13"/>
      <c r="H64" s="2"/>
      <c r="I64" s="2"/>
      <c r="J64" s="2"/>
      <c r="K64" s="12"/>
      <c r="L64" s="12"/>
      <c r="M64" s="12"/>
    </row>
    <row r="65" spans="1:13" ht="45">
      <c r="A65" s="107" t="s">
        <v>90</v>
      </c>
      <c r="B65" s="108" t="s">
        <v>25</v>
      </c>
      <c r="C65" s="108" t="s">
        <v>26</v>
      </c>
      <c r="D65" s="109" t="s">
        <v>91</v>
      </c>
      <c r="E65" s="109" t="s">
        <v>28</v>
      </c>
      <c r="F65" s="102"/>
      <c r="G65" s="13"/>
      <c r="H65" s="2"/>
      <c r="I65" s="2"/>
      <c r="J65" s="2"/>
      <c r="K65" s="123" t="s">
        <v>31</v>
      </c>
      <c r="L65" s="123" t="s">
        <v>32</v>
      </c>
      <c r="M65" s="123" t="s">
        <v>33</v>
      </c>
    </row>
    <row r="66" spans="1:13">
      <c r="A66" s="232" t="s">
        <v>92</v>
      </c>
      <c r="B66" s="118" t="s">
        <v>93</v>
      </c>
      <c r="C66" s="69"/>
      <c r="D66" s="139" t="str">
        <f t="shared" ref="D66:D104" si="6">IF(C66&gt;0,K66,"")</f>
        <v/>
      </c>
      <c r="E66" s="161" t="str">
        <f t="shared" ref="E66:E104" si="7">IF(C66&gt;0,C66*K66,"")</f>
        <v/>
      </c>
      <c r="F66" s="102"/>
      <c r="G66" s="13"/>
      <c r="H66" s="2"/>
      <c r="I66" s="2"/>
      <c r="J66" s="2"/>
      <c r="K66" s="82">
        <v>0.16128519402446861</v>
      </c>
      <c r="L66" s="11" t="s">
        <v>94</v>
      </c>
      <c r="M66" s="11" t="s">
        <v>95</v>
      </c>
    </row>
    <row r="67" spans="1:13">
      <c r="A67" s="130" t="s">
        <v>96</v>
      </c>
      <c r="B67" s="127" t="s">
        <v>93</v>
      </c>
      <c r="C67" s="69"/>
      <c r="D67" s="139" t="str">
        <f t="shared" si="6"/>
        <v/>
      </c>
      <c r="E67" s="161" t="str">
        <f t="shared" si="7"/>
        <v/>
      </c>
      <c r="F67" s="102"/>
      <c r="G67" s="13"/>
      <c r="H67" s="2"/>
      <c r="I67" s="2"/>
      <c r="J67" s="2"/>
      <c r="K67" s="82">
        <v>0.14853506635344171</v>
      </c>
      <c r="L67" s="11" t="s">
        <v>94</v>
      </c>
      <c r="M67" s="11" t="s">
        <v>95</v>
      </c>
    </row>
    <row r="68" spans="1:13">
      <c r="A68" s="130" t="s">
        <v>97</v>
      </c>
      <c r="B68" s="127" t="s">
        <v>93</v>
      </c>
      <c r="C68" s="69"/>
      <c r="D68" s="139" t="str">
        <f t="shared" si="6"/>
        <v/>
      </c>
      <c r="E68" s="161" t="str">
        <f t="shared" si="7"/>
        <v/>
      </c>
      <c r="F68" s="102"/>
      <c r="G68" s="13"/>
      <c r="H68" s="2"/>
      <c r="I68" s="2"/>
      <c r="J68" s="2"/>
      <c r="K68" s="82">
        <v>0.19518650751368674</v>
      </c>
      <c r="L68" s="11" t="s">
        <v>94</v>
      </c>
      <c r="M68" s="11" t="s">
        <v>95</v>
      </c>
    </row>
    <row r="69" spans="1:13">
      <c r="A69" s="130" t="s">
        <v>98</v>
      </c>
      <c r="B69" s="127" t="s">
        <v>93</v>
      </c>
      <c r="C69" s="69"/>
      <c r="D69" s="139" t="str">
        <f t="shared" si="6"/>
        <v/>
      </c>
      <c r="E69" s="161" t="str">
        <f t="shared" si="7"/>
        <v/>
      </c>
      <c r="F69" s="102"/>
      <c r="G69" s="13"/>
      <c r="H69" s="2"/>
      <c r="I69" s="2"/>
      <c r="J69" s="2"/>
      <c r="K69" s="82">
        <v>0.34316126921456724</v>
      </c>
      <c r="L69" s="11" t="s">
        <v>94</v>
      </c>
      <c r="M69" s="11" t="s">
        <v>95</v>
      </c>
    </row>
    <row r="70" spans="1:13">
      <c r="A70" s="232" t="s">
        <v>99</v>
      </c>
      <c r="B70" s="118" t="s">
        <v>93</v>
      </c>
      <c r="C70" s="69"/>
      <c r="D70" s="139" t="str">
        <f t="shared" si="6"/>
        <v/>
      </c>
      <c r="E70" s="161" t="str">
        <f t="shared" si="7"/>
        <v/>
      </c>
      <c r="F70" s="102"/>
      <c r="G70" s="13"/>
      <c r="H70" s="2"/>
      <c r="I70" s="2"/>
      <c r="J70" s="2"/>
      <c r="K70" s="82">
        <v>0.1366597289446945</v>
      </c>
      <c r="L70" s="11" t="s">
        <v>94</v>
      </c>
      <c r="M70" s="11" t="s">
        <v>95</v>
      </c>
    </row>
    <row r="71" spans="1:13">
      <c r="A71" s="130" t="s">
        <v>96</v>
      </c>
      <c r="B71" s="127" t="s">
        <v>93</v>
      </c>
      <c r="C71" s="69"/>
      <c r="D71" s="139" t="str">
        <f t="shared" si="6"/>
        <v/>
      </c>
      <c r="E71" s="161" t="str">
        <f t="shared" si="7"/>
        <v/>
      </c>
      <c r="F71" s="102"/>
      <c r="G71" s="13"/>
      <c r="H71" s="2"/>
      <c r="I71" s="2"/>
      <c r="J71" s="2"/>
      <c r="K71" s="82">
        <v>0.13357750023099899</v>
      </c>
      <c r="L71" s="11" t="s">
        <v>94</v>
      </c>
      <c r="M71" s="11" t="s">
        <v>95</v>
      </c>
    </row>
    <row r="72" spans="1:13">
      <c r="A72" s="130" t="s">
        <v>97</v>
      </c>
      <c r="B72" s="127" t="s">
        <v>93</v>
      </c>
      <c r="C72" s="69"/>
      <c r="D72" s="139" t="str">
        <f t="shared" si="6"/>
        <v/>
      </c>
      <c r="E72" s="161" t="str">
        <f t="shared" si="7"/>
        <v/>
      </c>
      <c r="F72" s="102"/>
      <c r="G72" s="13"/>
      <c r="H72" s="2"/>
      <c r="I72" s="2"/>
      <c r="J72" s="2"/>
      <c r="K72" s="82">
        <v>0.13781725010789272</v>
      </c>
      <c r="L72" s="11" t="s">
        <v>94</v>
      </c>
      <c r="M72" s="11" t="s">
        <v>95</v>
      </c>
    </row>
    <row r="73" spans="1:13">
      <c r="A73" s="130" t="s">
        <v>98</v>
      </c>
      <c r="B73" s="127" t="s">
        <v>93</v>
      </c>
      <c r="C73" s="69"/>
      <c r="D73" s="139" t="str">
        <f t="shared" si="6"/>
        <v/>
      </c>
      <c r="E73" s="161" t="str">
        <f t="shared" si="7"/>
        <v/>
      </c>
      <c r="F73" s="102"/>
      <c r="G73" s="13"/>
      <c r="H73" s="2"/>
      <c r="I73" s="2"/>
      <c r="J73" s="2"/>
      <c r="K73" s="82">
        <v>0.14553402784335914</v>
      </c>
      <c r="L73" s="11" t="s">
        <v>94</v>
      </c>
      <c r="M73" s="11" t="s">
        <v>95</v>
      </c>
    </row>
    <row r="74" spans="1:13">
      <c r="A74" s="232" t="s">
        <v>100</v>
      </c>
      <c r="B74" s="118" t="s">
        <v>93</v>
      </c>
      <c r="C74" s="69"/>
      <c r="D74" s="139" t="str">
        <f t="shared" si="6"/>
        <v/>
      </c>
      <c r="E74" s="161" t="str">
        <f t="shared" si="7"/>
        <v/>
      </c>
      <c r="F74" s="102"/>
      <c r="G74" s="13"/>
      <c r="H74" s="2"/>
      <c r="I74" s="2"/>
      <c r="J74" s="2"/>
      <c r="K74" s="82">
        <v>0.12781642001717203</v>
      </c>
      <c r="L74" s="11" t="s">
        <v>94</v>
      </c>
      <c r="M74" s="11" t="s">
        <v>95</v>
      </c>
    </row>
    <row r="75" spans="1:13">
      <c r="A75" s="130" t="s">
        <v>96</v>
      </c>
      <c r="B75" s="127" t="s">
        <v>93</v>
      </c>
      <c r="C75" s="69"/>
      <c r="D75" s="139" t="str">
        <f t="shared" si="6"/>
        <v/>
      </c>
      <c r="E75" s="161" t="str">
        <f t="shared" si="7"/>
        <v/>
      </c>
      <c r="F75" s="102"/>
      <c r="G75" s="13"/>
      <c r="H75" s="2"/>
      <c r="I75" s="2"/>
      <c r="J75" s="2"/>
      <c r="K75" s="82">
        <v>0.11836078708748123</v>
      </c>
      <c r="L75" s="11" t="s">
        <v>94</v>
      </c>
      <c r="M75" s="11" t="s">
        <v>95</v>
      </c>
    </row>
    <row r="76" spans="1:13">
      <c r="A76" s="130" t="s">
        <v>97</v>
      </c>
      <c r="B76" s="127" t="s">
        <v>93</v>
      </c>
      <c r="C76" s="69"/>
      <c r="D76" s="139" t="str">
        <f t="shared" si="6"/>
        <v/>
      </c>
      <c r="E76" s="161" t="str">
        <f t="shared" si="7"/>
        <v/>
      </c>
      <c r="F76" s="102"/>
      <c r="G76" s="13"/>
      <c r="H76" s="2"/>
      <c r="I76" s="2"/>
      <c r="J76" s="2"/>
      <c r="K76" s="82">
        <v>0.13209617562163056</v>
      </c>
      <c r="L76" s="11" t="s">
        <v>94</v>
      </c>
      <c r="M76" s="11" t="s">
        <v>95</v>
      </c>
    </row>
    <row r="77" spans="1:13">
      <c r="A77" s="130" t="s">
        <v>98</v>
      </c>
      <c r="B77" s="127" t="s">
        <v>93</v>
      </c>
      <c r="C77" s="69"/>
      <c r="D77" s="139" t="str">
        <f t="shared" si="6"/>
        <v/>
      </c>
      <c r="E77" s="161" t="str">
        <f t="shared" si="7"/>
        <v/>
      </c>
      <c r="F77" s="102"/>
      <c r="G77" s="13"/>
      <c r="H77" s="2"/>
      <c r="I77" s="2"/>
      <c r="J77" s="2"/>
      <c r="K77" s="82">
        <v>0.15835255149821104</v>
      </c>
      <c r="L77" s="11" t="s">
        <v>94</v>
      </c>
      <c r="M77" s="11" t="s">
        <v>95</v>
      </c>
    </row>
    <row r="78" spans="1:13">
      <c r="A78" s="232" t="s">
        <v>101</v>
      </c>
      <c r="B78" s="118" t="s">
        <v>93</v>
      </c>
      <c r="C78" s="69"/>
      <c r="D78" s="139" t="str">
        <f t="shared" si="6"/>
        <v/>
      </c>
      <c r="E78" s="161" t="str">
        <f t="shared" si="7"/>
        <v/>
      </c>
      <c r="F78" s="102"/>
      <c r="G78" s="13"/>
      <c r="H78" s="2"/>
      <c r="I78" s="2"/>
      <c r="J78" s="2"/>
      <c r="K78" s="82">
        <v>0.16685333139111685</v>
      </c>
      <c r="L78" s="11" t="s">
        <v>94</v>
      </c>
      <c r="M78" s="11" t="s">
        <v>95</v>
      </c>
    </row>
    <row r="79" spans="1:13">
      <c r="A79" s="130" t="s">
        <v>96</v>
      </c>
      <c r="B79" s="127" t="s">
        <v>93</v>
      </c>
      <c r="C79" s="69"/>
      <c r="D79" s="139" t="str">
        <f t="shared" si="6"/>
        <v/>
      </c>
      <c r="E79" s="161" t="str">
        <f t="shared" si="7"/>
        <v/>
      </c>
      <c r="F79" s="102"/>
      <c r="G79" s="13"/>
      <c r="H79" s="2"/>
      <c r="I79" s="2"/>
      <c r="J79" s="2"/>
      <c r="K79" s="82">
        <v>0.17793597287537069</v>
      </c>
      <c r="L79" s="11" t="s">
        <v>94</v>
      </c>
      <c r="M79" s="11" t="s">
        <v>95</v>
      </c>
    </row>
    <row r="80" spans="1:13">
      <c r="A80" s="130" t="s">
        <v>97</v>
      </c>
      <c r="B80" s="127" t="s">
        <v>93</v>
      </c>
      <c r="C80" s="69"/>
      <c r="D80" s="139" t="str">
        <f t="shared" si="6"/>
        <v/>
      </c>
      <c r="E80" s="161" t="str">
        <f t="shared" si="7"/>
        <v/>
      </c>
      <c r="F80" s="102"/>
      <c r="G80" s="13"/>
      <c r="H80" s="2"/>
      <c r="I80" s="2"/>
      <c r="J80" s="2"/>
      <c r="K80" s="82">
        <v>0.15517044329757887</v>
      </c>
      <c r="L80" s="11" t="s">
        <v>94</v>
      </c>
      <c r="M80" s="11" t="s">
        <v>95</v>
      </c>
    </row>
    <row r="81" spans="1:13">
      <c r="A81" s="130" t="s">
        <v>98</v>
      </c>
      <c r="B81" s="127" t="s">
        <v>93</v>
      </c>
      <c r="C81" s="69"/>
      <c r="D81" s="139" t="str">
        <f t="shared" si="6"/>
        <v/>
      </c>
      <c r="E81" s="161" t="str">
        <f t="shared" si="7"/>
        <v/>
      </c>
      <c r="F81" s="102"/>
      <c r="G81" s="13"/>
      <c r="H81" s="2"/>
      <c r="I81" s="2"/>
      <c r="J81" s="2"/>
      <c r="K81" s="82">
        <v>0.23002294366682896</v>
      </c>
      <c r="L81" s="11" t="s">
        <v>94</v>
      </c>
      <c r="M81" s="11" t="s">
        <v>95</v>
      </c>
    </row>
    <row r="82" spans="1:13">
      <c r="A82" s="232" t="s">
        <v>102</v>
      </c>
      <c r="B82" s="118" t="s">
        <v>93</v>
      </c>
      <c r="C82" s="69"/>
      <c r="D82" s="139" t="str">
        <f t="shared" si="6"/>
        <v/>
      </c>
      <c r="E82" s="161" t="str">
        <f t="shared" si="7"/>
        <v/>
      </c>
      <c r="F82" s="102"/>
      <c r="G82" s="13"/>
      <c r="H82" s="2"/>
      <c r="I82" s="2"/>
      <c r="J82" s="2"/>
      <c r="K82" s="82">
        <v>0.14082152354012839</v>
      </c>
      <c r="L82" s="11" t="s">
        <v>94</v>
      </c>
      <c r="M82" s="11" t="s">
        <v>95</v>
      </c>
    </row>
    <row r="83" spans="1:13">
      <c r="A83" s="130" t="s">
        <v>98</v>
      </c>
      <c r="B83" s="127" t="s">
        <v>93</v>
      </c>
      <c r="C83" s="69"/>
      <c r="D83" s="139" t="str">
        <f t="shared" si="6"/>
        <v/>
      </c>
      <c r="E83" s="161" t="str">
        <f t="shared" si="7"/>
        <v/>
      </c>
      <c r="F83" s="102"/>
      <c r="G83" s="13"/>
      <c r="H83" s="2"/>
      <c r="I83" s="2"/>
      <c r="J83" s="2"/>
      <c r="K83" s="82">
        <v>0.13761327500000001</v>
      </c>
      <c r="L83" s="11" t="s">
        <v>94</v>
      </c>
      <c r="M83" s="11" t="s">
        <v>95</v>
      </c>
    </row>
    <row r="84" spans="1:13">
      <c r="A84" s="232" t="s">
        <v>103</v>
      </c>
      <c r="B84" s="118" t="s">
        <v>93</v>
      </c>
      <c r="C84" s="69"/>
      <c r="D84" s="139" t="str">
        <f t="shared" si="6"/>
        <v/>
      </c>
      <c r="E84" s="161" t="str">
        <f t="shared" si="7"/>
        <v/>
      </c>
      <c r="F84" s="102"/>
      <c r="G84" s="13"/>
      <c r="H84" s="2"/>
      <c r="I84" s="2"/>
      <c r="J84" s="2"/>
      <c r="K84" s="82">
        <v>0.15625288123887746</v>
      </c>
      <c r="L84" s="11" t="s">
        <v>94</v>
      </c>
      <c r="M84" s="11" t="s">
        <v>95</v>
      </c>
    </row>
    <row r="85" spans="1:13">
      <c r="A85" s="130" t="s">
        <v>96</v>
      </c>
      <c r="B85" s="127" t="s">
        <v>93</v>
      </c>
      <c r="C85" s="69"/>
      <c r="D85" s="139" t="str">
        <f t="shared" si="6"/>
        <v/>
      </c>
      <c r="E85" s="161" t="str">
        <f t="shared" si="7"/>
        <v/>
      </c>
      <c r="F85" s="102"/>
      <c r="G85" s="13"/>
      <c r="H85" s="2"/>
      <c r="I85" s="2"/>
      <c r="J85" s="2"/>
      <c r="K85" s="82">
        <v>0.17044207778252124</v>
      </c>
      <c r="L85" s="11" t="s">
        <v>94</v>
      </c>
      <c r="M85" s="11" t="s">
        <v>95</v>
      </c>
    </row>
    <row r="86" spans="1:13">
      <c r="A86" s="130" t="s">
        <v>97</v>
      </c>
      <c r="B86" s="127" t="s">
        <v>93</v>
      </c>
      <c r="C86" s="69"/>
      <c r="D86" s="139" t="str">
        <f t="shared" si="6"/>
        <v/>
      </c>
      <c r="E86" s="161" t="str">
        <f t="shared" si="7"/>
        <v/>
      </c>
      <c r="F86" s="102"/>
      <c r="G86" s="13"/>
      <c r="H86" s="2"/>
      <c r="I86" s="2"/>
      <c r="J86" s="2"/>
      <c r="K86" s="82">
        <v>0.17044207778252127</v>
      </c>
      <c r="L86" s="11" t="s">
        <v>94</v>
      </c>
      <c r="M86" s="11" t="s">
        <v>95</v>
      </c>
    </row>
    <row r="87" spans="1:13">
      <c r="A87" s="130" t="s">
        <v>98</v>
      </c>
      <c r="B87" s="127" t="s">
        <v>93</v>
      </c>
      <c r="C87" s="69"/>
      <c r="D87" s="139" t="str">
        <f t="shared" si="6"/>
        <v/>
      </c>
      <c r="E87" s="161" t="str">
        <f t="shared" si="7"/>
        <v/>
      </c>
      <c r="F87" s="102"/>
      <c r="G87" s="13"/>
      <c r="H87" s="2"/>
      <c r="I87" s="2"/>
      <c r="J87" s="2"/>
      <c r="K87" s="82">
        <v>0.18311802477578931</v>
      </c>
      <c r="L87" s="11" t="s">
        <v>94</v>
      </c>
      <c r="M87" s="11" t="s">
        <v>95</v>
      </c>
    </row>
    <row r="88" spans="1:13">
      <c r="A88" s="232" t="s">
        <v>104</v>
      </c>
      <c r="B88" s="118" t="s">
        <v>93</v>
      </c>
      <c r="C88" s="69"/>
      <c r="D88" s="139" t="str">
        <f t="shared" si="6"/>
        <v/>
      </c>
      <c r="E88" s="161" t="str">
        <f t="shared" si="7"/>
        <v/>
      </c>
      <c r="F88" s="102"/>
      <c r="G88" s="13"/>
      <c r="H88" s="2"/>
      <c r="I88" s="2"/>
      <c r="J88" s="2"/>
      <c r="K88" s="82">
        <v>0.1263068794154755</v>
      </c>
      <c r="L88" s="11" t="s">
        <v>94</v>
      </c>
      <c r="M88" s="11" t="s">
        <v>95</v>
      </c>
    </row>
    <row r="89" spans="1:13">
      <c r="A89" s="130" t="s">
        <v>96</v>
      </c>
      <c r="B89" s="127" t="s">
        <v>93</v>
      </c>
      <c r="C89" s="69"/>
      <c r="D89" s="139" t="str">
        <f t="shared" si="6"/>
        <v/>
      </c>
      <c r="E89" s="161" t="str">
        <f t="shared" si="7"/>
        <v/>
      </c>
      <c r="F89" s="102"/>
      <c r="G89" s="13"/>
      <c r="H89" s="2"/>
      <c r="I89" s="2"/>
      <c r="J89" s="2"/>
      <c r="K89" s="82">
        <v>0.12335205668476334</v>
      </c>
      <c r="L89" s="11" t="s">
        <v>94</v>
      </c>
      <c r="M89" s="11" t="s">
        <v>95</v>
      </c>
    </row>
    <row r="90" spans="1:13">
      <c r="A90" s="130" t="s">
        <v>97</v>
      </c>
      <c r="B90" s="127" t="s">
        <v>93</v>
      </c>
      <c r="C90" s="69"/>
      <c r="D90" s="139" t="str">
        <f t="shared" si="6"/>
        <v/>
      </c>
      <c r="E90" s="161" t="str">
        <f t="shared" si="7"/>
        <v/>
      </c>
      <c r="F90" s="102"/>
      <c r="G90" s="13"/>
      <c r="H90" s="2"/>
      <c r="I90" s="2"/>
      <c r="J90" s="2"/>
      <c r="K90" s="82">
        <v>0.12335205668476333</v>
      </c>
      <c r="L90" s="11" t="s">
        <v>94</v>
      </c>
      <c r="M90" s="11" t="s">
        <v>95</v>
      </c>
    </row>
    <row r="91" spans="1:13">
      <c r="A91" s="130" t="s">
        <v>98</v>
      </c>
      <c r="B91" s="127" t="s">
        <v>93</v>
      </c>
      <c r="C91" s="69"/>
      <c r="D91" s="139" t="str">
        <f t="shared" si="6"/>
        <v/>
      </c>
      <c r="E91" s="161" t="str">
        <f t="shared" si="7"/>
        <v/>
      </c>
      <c r="F91" s="102"/>
      <c r="G91" s="13"/>
      <c r="H91" s="2"/>
      <c r="I91" s="2"/>
      <c r="J91" s="2"/>
      <c r="K91" s="82">
        <v>0.12335205668476333</v>
      </c>
      <c r="L91" s="11" t="s">
        <v>94</v>
      </c>
      <c r="M91" s="11" t="s">
        <v>95</v>
      </c>
    </row>
    <row r="92" spans="1:13">
      <c r="A92" s="232" t="s">
        <v>105</v>
      </c>
      <c r="B92" s="118" t="s">
        <v>93</v>
      </c>
      <c r="C92" s="69"/>
      <c r="D92" s="139" t="str">
        <f t="shared" si="6"/>
        <v/>
      </c>
      <c r="E92" s="161" t="str">
        <f t="shared" si="7"/>
        <v/>
      </c>
      <c r="F92" s="102"/>
      <c r="G92" s="13"/>
      <c r="H92" s="2"/>
      <c r="I92" s="2"/>
      <c r="J92" s="2"/>
      <c r="K92" s="82">
        <v>6.0732000000000001E-2</v>
      </c>
      <c r="L92" s="11" t="s">
        <v>94</v>
      </c>
      <c r="M92" s="11" t="s">
        <v>106</v>
      </c>
    </row>
    <row r="93" spans="1:13">
      <c r="A93" s="130" t="s">
        <v>96</v>
      </c>
      <c r="B93" s="127" t="s">
        <v>93</v>
      </c>
      <c r="C93" s="69"/>
      <c r="D93" s="139" t="str">
        <f t="shared" si="6"/>
        <v/>
      </c>
      <c r="E93" s="161" t="str">
        <f t="shared" si="7"/>
        <v/>
      </c>
      <c r="F93" s="102"/>
      <c r="G93" s="13"/>
      <c r="H93" s="2"/>
      <c r="I93" s="2"/>
      <c r="J93" s="2"/>
      <c r="K93" s="82">
        <f>0.14*0.2892</f>
        <v>4.0488000000000003E-2</v>
      </c>
      <c r="L93" s="11" t="s">
        <v>94</v>
      </c>
      <c r="M93" s="11" t="s">
        <v>107</v>
      </c>
    </row>
    <row r="94" spans="1:13">
      <c r="A94" s="130" t="s">
        <v>97</v>
      </c>
      <c r="B94" s="127" t="s">
        <v>93</v>
      </c>
      <c r="C94" s="69"/>
      <c r="D94" s="139" t="str">
        <f t="shared" si="6"/>
        <v/>
      </c>
      <c r="E94" s="161" t="str">
        <f t="shared" si="7"/>
        <v/>
      </c>
      <c r="F94" s="102"/>
      <c r="G94" s="13"/>
      <c r="H94" s="2"/>
      <c r="I94" s="2"/>
      <c r="J94" s="2"/>
      <c r="K94" s="82">
        <f>0.19*0.2892</f>
        <v>5.4948000000000004E-2</v>
      </c>
      <c r="L94" s="11" t="s">
        <v>94</v>
      </c>
      <c r="M94" s="11" t="s">
        <v>108</v>
      </c>
    </row>
    <row r="95" spans="1:13">
      <c r="A95" s="130" t="s">
        <v>98</v>
      </c>
      <c r="B95" s="127" t="s">
        <v>93</v>
      </c>
      <c r="C95" s="69"/>
      <c r="D95" s="139" t="str">
        <f t="shared" si="6"/>
        <v/>
      </c>
      <c r="E95" s="161" t="str">
        <f t="shared" si="7"/>
        <v/>
      </c>
      <c r="F95" s="102"/>
      <c r="G95" s="13"/>
      <c r="H95" s="2"/>
      <c r="I95" s="2"/>
      <c r="J95" s="2"/>
      <c r="K95" s="82">
        <f>0.24*0.2892</f>
        <v>6.9407999999999997E-2</v>
      </c>
      <c r="L95" s="11" t="s">
        <v>94</v>
      </c>
      <c r="M95" s="11" t="s">
        <v>109</v>
      </c>
    </row>
    <row r="96" spans="1:13">
      <c r="A96" s="232" t="s">
        <v>110</v>
      </c>
      <c r="B96" s="118" t="s">
        <v>93</v>
      </c>
      <c r="C96" s="69"/>
      <c r="D96" s="139" t="str">
        <f t="shared" si="6"/>
        <v/>
      </c>
      <c r="E96" s="161" t="str">
        <f t="shared" si="7"/>
        <v/>
      </c>
      <c r="F96" s="102"/>
      <c r="G96" s="13"/>
      <c r="H96" s="2"/>
      <c r="I96" s="2"/>
      <c r="J96" s="2"/>
      <c r="K96" s="82">
        <v>0.24689250379216049</v>
      </c>
      <c r="L96" s="11" t="s">
        <v>94</v>
      </c>
      <c r="M96" s="11" t="s">
        <v>95</v>
      </c>
    </row>
    <row r="97" spans="1:13">
      <c r="A97" s="133" t="s">
        <v>111</v>
      </c>
      <c r="B97" s="118" t="s">
        <v>93</v>
      </c>
      <c r="C97" s="69"/>
      <c r="D97" s="139" t="str">
        <f t="shared" si="6"/>
        <v/>
      </c>
      <c r="E97" s="161" t="str">
        <f t="shared" si="7"/>
        <v/>
      </c>
      <c r="F97" s="102"/>
      <c r="G97" s="13"/>
      <c r="H97" s="2"/>
      <c r="I97" s="262"/>
      <c r="J97" s="7"/>
      <c r="K97" s="82">
        <v>0.2432207431090368</v>
      </c>
      <c r="L97" s="11" t="s">
        <v>94</v>
      </c>
      <c r="M97" s="11" t="s">
        <v>95</v>
      </c>
    </row>
    <row r="98" spans="1:13">
      <c r="A98" s="133" t="s">
        <v>112</v>
      </c>
      <c r="B98" s="118" t="s">
        <v>93</v>
      </c>
      <c r="C98" s="69"/>
      <c r="D98" s="139" t="str">
        <f t="shared" si="6"/>
        <v/>
      </c>
      <c r="E98" s="161" t="str">
        <f t="shared" si="7"/>
        <v/>
      </c>
      <c r="F98" s="102"/>
      <c r="G98" s="13"/>
      <c r="H98" s="2"/>
      <c r="I98" s="262"/>
      <c r="J98" s="7"/>
      <c r="K98" s="82">
        <v>0.32611790765373599</v>
      </c>
      <c r="L98" s="11" t="s">
        <v>94</v>
      </c>
      <c r="M98" s="11" t="s">
        <v>95</v>
      </c>
    </row>
    <row r="99" spans="1:13">
      <c r="A99" s="133" t="s">
        <v>113</v>
      </c>
      <c r="B99" s="118" t="s">
        <v>93</v>
      </c>
      <c r="C99" s="69"/>
      <c r="D99" s="139" t="str">
        <f t="shared" si="6"/>
        <v/>
      </c>
      <c r="E99" s="161" t="str">
        <f t="shared" si="7"/>
        <v/>
      </c>
      <c r="F99" s="102"/>
      <c r="G99" s="13"/>
      <c r="H99" s="2"/>
      <c r="I99" s="262"/>
      <c r="J99" s="7"/>
      <c r="K99" s="82">
        <v>0.66840161917946761</v>
      </c>
      <c r="L99" s="11" t="s">
        <v>94</v>
      </c>
      <c r="M99" s="11" t="s">
        <v>95</v>
      </c>
    </row>
    <row r="100" spans="1:13">
      <c r="A100" s="133" t="s">
        <v>114</v>
      </c>
      <c r="B100" s="118" t="s">
        <v>93</v>
      </c>
      <c r="C100" s="69"/>
      <c r="D100" s="139" t="str">
        <f t="shared" si="6"/>
        <v/>
      </c>
      <c r="E100" s="161" t="str">
        <f t="shared" si="7"/>
        <v/>
      </c>
      <c r="F100" s="102"/>
      <c r="G100" s="13"/>
      <c r="H100" s="2"/>
      <c r="I100" s="7"/>
      <c r="J100" s="7"/>
      <c r="K100" s="82">
        <v>0.70280722585073518</v>
      </c>
      <c r="L100" s="11" t="s">
        <v>94</v>
      </c>
      <c r="M100" s="11" t="s">
        <v>95</v>
      </c>
    </row>
    <row r="101" spans="1:13">
      <c r="A101" s="133" t="s">
        <v>115</v>
      </c>
      <c r="B101" s="118" t="s">
        <v>93</v>
      </c>
      <c r="C101" s="69"/>
      <c r="D101" s="139" t="str">
        <f t="shared" si="6"/>
        <v/>
      </c>
      <c r="E101" s="161" t="str">
        <f t="shared" si="7"/>
        <v/>
      </c>
      <c r="F101" s="102"/>
      <c r="G101" s="13"/>
      <c r="H101" s="2"/>
      <c r="I101" s="7"/>
      <c r="J101" s="7"/>
      <c r="K101" s="82">
        <v>0.68108354164497065</v>
      </c>
      <c r="L101" s="11" t="s">
        <v>94</v>
      </c>
      <c r="M101" s="11" t="s">
        <v>95</v>
      </c>
    </row>
    <row r="102" spans="1:13">
      <c r="A102" s="133" t="s">
        <v>116</v>
      </c>
      <c r="B102" s="118" t="s">
        <v>93</v>
      </c>
      <c r="C102" s="69"/>
      <c r="D102" s="139" t="str">
        <f t="shared" si="6"/>
        <v/>
      </c>
      <c r="E102" s="161" t="str">
        <f t="shared" si="7"/>
        <v/>
      </c>
      <c r="F102" s="102"/>
      <c r="G102" s="13"/>
      <c r="H102" s="2"/>
      <c r="I102" s="7"/>
      <c r="J102" s="7"/>
      <c r="K102" s="82">
        <v>1.0968327159905724</v>
      </c>
      <c r="L102" s="11" t="s">
        <v>94</v>
      </c>
      <c r="M102" s="11" t="s">
        <v>95</v>
      </c>
    </row>
    <row r="103" spans="1:13">
      <c r="A103" s="133" t="s">
        <v>117</v>
      </c>
      <c r="B103" s="118" t="s">
        <v>93</v>
      </c>
      <c r="C103" s="69"/>
      <c r="D103" s="139" t="str">
        <f t="shared" si="6"/>
        <v/>
      </c>
      <c r="E103" s="161" t="str">
        <f t="shared" si="7"/>
        <v/>
      </c>
      <c r="F103" s="102"/>
      <c r="G103" s="13"/>
      <c r="H103" s="2"/>
      <c r="I103" s="7"/>
      <c r="J103" s="7"/>
      <c r="K103" s="82">
        <v>5.4879940781715111E-2</v>
      </c>
      <c r="L103" s="11" t="s">
        <v>94</v>
      </c>
      <c r="M103" s="11" t="s">
        <v>95</v>
      </c>
    </row>
    <row r="104" spans="1:13">
      <c r="A104" s="133" t="s">
        <v>118</v>
      </c>
      <c r="B104" s="118" t="s">
        <v>93</v>
      </c>
      <c r="C104" s="69"/>
      <c r="D104" s="139" t="str">
        <f t="shared" si="6"/>
        <v/>
      </c>
      <c r="E104" s="161" t="str">
        <f t="shared" si="7"/>
        <v/>
      </c>
      <c r="F104" s="102"/>
      <c r="G104" s="13"/>
      <c r="H104" s="2"/>
      <c r="I104" s="7"/>
      <c r="J104" s="7"/>
      <c r="K104" s="82">
        <v>0.10707946329412216</v>
      </c>
      <c r="L104" s="11" t="s">
        <v>94</v>
      </c>
      <c r="M104" s="11" t="s">
        <v>95</v>
      </c>
    </row>
    <row r="105" spans="1:13">
      <c r="A105" s="110" t="s">
        <v>50</v>
      </c>
      <c r="B105" s="131"/>
      <c r="C105" s="132"/>
      <c r="D105" s="129"/>
      <c r="E105" s="158"/>
      <c r="F105" s="102"/>
      <c r="G105" s="13"/>
      <c r="H105" s="2"/>
      <c r="I105" s="2"/>
      <c r="J105" s="2"/>
      <c r="K105" s="12"/>
      <c r="L105" s="12"/>
      <c r="M105" s="12"/>
    </row>
    <row r="106" spans="1:13">
      <c r="A106" s="57"/>
      <c r="B106" s="118" t="s">
        <v>93</v>
      </c>
      <c r="C106" s="70"/>
      <c r="D106" s="83"/>
      <c r="E106" s="161" t="str">
        <f>IF(C106&gt;0,C106*D106,"")</f>
        <v/>
      </c>
      <c r="F106" s="102"/>
      <c r="G106" s="13"/>
      <c r="H106" s="2"/>
      <c r="I106" s="2"/>
      <c r="J106" s="2"/>
      <c r="K106" s="12"/>
      <c r="L106" s="12"/>
      <c r="M106" s="12"/>
    </row>
    <row r="107" spans="1:13">
      <c r="A107" s="136"/>
      <c r="B107" s="137"/>
      <c r="C107" s="138"/>
      <c r="D107" s="138"/>
      <c r="E107" s="138"/>
      <c r="F107" s="135"/>
      <c r="G107" s="13"/>
      <c r="H107" s="2"/>
      <c r="I107" s="2"/>
      <c r="J107" s="2"/>
      <c r="K107" s="12"/>
      <c r="L107" s="12"/>
      <c r="M107" s="12"/>
    </row>
    <row r="108" spans="1:13">
      <c r="A108" s="13"/>
      <c r="B108" s="14"/>
      <c r="C108" s="13"/>
      <c r="D108" s="13"/>
      <c r="E108" s="13"/>
      <c r="F108" s="13"/>
      <c r="G108" s="13"/>
      <c r="H108" s="2"/>
      <c r="I108" s="2"/>
      <c r="J108" s="2"/>
      <c r="K108" s="12"/>
      <c r="L108" s="12"/>
      <c r="M108" s="12"/>
    </row>
    <row r="109" spans="1:13">
      <c r="A109" s="13"/>
      <c r="B109" s="14"/>
      <c r="C109" s="13"/>
      <c r="D109" s="13"/>
      <c r="E109" s="13"/>
      <c r="F109" s="13"/>
      <c r="G109" s="13"/>
      <c r="H109" s="2"/>
      <c r="I109" s="2"/>
      <c r="J109" s="2"/>
      <c r="K109" s="12"/>
      <c r="L109" s="12"/>
      <c r="M109" s="12"/>
    </row>
    <row r="110" spans="1:13" ht="21">
      <c r="A110" s="95" t="s">
        <v>8</v>
      </c>
      <c r="B110" s="96"/>
      <c r="C110" s="97"/>
      <c r="D110" s="97"/>
      <c r="E110" s="97"/>
      <c r="F110" s="98"/>
      <c r="G110" s="13"/>
      <c r="H110" s="2"/>
      <c r="I110" s="2"/>
      <c r="J110" s="2"/>
      <c r="K110" s="12"/>
      <c r="L110" s="12"/>
      <c r="M110" s="12"/>
    </row>
    <row r="111" spans="1:13" ht="21">
      <c r="A111" s="141"/>
      <c r="B111" s="100"/>
      <c r="C111" s="101"/>
      <c r="D111" s="101"/>
      <c r="E111" s="101"/>
      <c r="F111" s="102"/>
      <c r="G111" s="13"/>
      <c r="H111" s="2"/>
      <c r="I111" s="2"/>
      <c r="J111" s="2"/>
      <c r="K111" s="12"/>
      <c r="L111" s="12"/>
      <c r="M111" s="12"/>
    </row>
    <row r="112" spans="1:13">
      <c r="A112" s="99"/>
      <c r="B112" s="101"/>
      <c r="C112" s="101"/>
      <c r="D112" s="101"/>
      <c r="E112" s="101"/>
      <c r="F112" s="102"/>
      <c r="G112" s="13"/>
      <c r="H112" s="2"/>
      <c r="I112" s="2"/>
      <c r="J112" s="2"/>
      <c r="K112" s="12"/>
      <c r="L112" s="12"/>
      <c r="M112" s="12"/>
    </row>
    <row r="113" spans="1:13">
      <c r="A113" s="103" t="s">
        <v>119</v>
      </c>
      <c r="B113" s="104"/>
      <c r="C113" s="105"/>
      <c r="D113" s="105"/>
      <c r="E113" s="105"/>
      <c r="F113" s="102"/>
      <c r="G113" s="13"/>
      <c r="H113" s="2"/>
      <c r="I113" s="2"/>
      <c r="J113" s="2"/>
      <c r="K113" s="12"/>
      <c r="L113" s="12"/>
      <c r="M113" s="12"/>
    </row>
    <row r="114" spans="1:13" ht="45">
      <c r="A114" s="110"/>
      <c r="B114" s="108" t="s">
        <v>25</v>
      </c>
      <c r="C114" s="108" t="s">
        <v>26</v>
      </c>
      <c r="D114" s="109" t="s">
        <v>120</v>
      </c>
      <c r="E114" s="109" t="s">
        <v>28</v>
      </c>
      <c r="F114" s="102"/>
      <c r="G114" s="13"/>
      <c r="H114" s="2"/>
      <c r="I114" s="2"/>
      <c r="J114" s="2"/>
      <c r="K114" s="123" t="s">
        <v>31</v>
      </c>
      <c r="L114" s="123" t="s">
        <v>32</v>
      </c>
      <c r="M114" s="123" t="s">
        <v>33</v>
      </c>
    </row>
    <row r="115" spans="1:13">
      <c r="A115" s="99" t="s">
        <v>121</v>
      </c>
      <c r="B115" s="142" t="s">
        <v>35</v>
      </c>
      <c r="C115" s="68"/>
      <c r="D115" s="139" t="str">
        <f>IF(C115&gt;0,K115,"")</f>
        <v/>
      </c>
      <c r="E115" s="161" t="str">
        <f>IF(B116="ja",0,(IF(C115="","",C115*K115)))</f>
        <v/>
      </c>
      <c r="F115" s="102"/>
      <c r="G115" s="13"/>
      <c r="H115" s="2"/>
      <c r="I115" s="2"/>
      <c r="J115" s="2"/>
      <c r="K115" s="82">
        <v>0.28920000000000001</v>
      </c>
      <c r="L115" s="11" t="s">
        <v>84</v>
      </c>
      <c r="M115" s="11" t="s">
        <v>85</v>
      </c>
    </row>
    <row r="116" spans="1:13" ht="30" customHeight="1">
      <c r="A116" s="145" t="s">
        <v>86</v>
      </c>
      <c r="B116" s="60" t="s">
        <v>87</v>
      </c>
      <c r="C116" s="105"/>
      <c r="D116" s="129"/>
      <c r="E116" s="158"/>
      <c r="F116" s="102"/>
      <c r="G116" s="13"/>
      <c r="H116" s="6" t="s">
        <v>122</v>
      </c>
      <c r="I116" s="7" t="s">
        <v>123</v>
      </c>
      <c r="J116" s="2"/>
      <c r="K116" s="12"/>
      <c r="L116" s="12"/>
      <c r="M116" s="12"/>
    </row>
    <row r="117" spans="1:13" ht="15" customHeight="1">
      <c r="A117" s="147" t="s">
        <v>88</v>
      </c>
      <c r="B117" s="148" t="s">
        <v>84</v>
      </c>
      <c r="C117" s="61"/>
      <c r="D117" s="129"/>
      <c r="E117" s="161" t="str">
        <f>IF(C117="","",C115*C117)</f>
        <v/>
      </c>
      <c r="F117" s="102"/>
      <c r="G117" s="13"/>
      <c r="H117" s="2"/>
      <c r="I117" s="262" t="s">
        <v>124</v>
      </c>
      <c r="J117" s="2"/>
      <c r="K117" s="12"/>
      <c r="L117" s="12"/>
      <c r="M117" s="12"/>
    </row>
    <row r="118" spans="1:13">
      <c r="A118" s="151"/>
      <c r="B118" s="121"/>
      <c r="C118" s="152"/>
      <c r="D118" s="129"/>
      <c r="E118" s="158"/>
      <c r="F118" s="102"/>
      <c r="G118" s="13"/>
      <c r="H118" s="2"/>
      <c r="I118" s="262"/>
      <c r="J118" s="2"/>
      <c r="K118" s="12"/>
      <c r="L118" s="12"/>
      <c r="M118" s="12"/>
    </row>
    <row r="119" spans="1:13">
      <c r="A119" s="144" t="s">
        <v>125</v>
      </c>
      <c r="B119" s="142" t="s">
        <v>35</v>
      </c>
      <c r="C119" s="68"/>
      <c r="D119" s="139" t="str">
        <f>IF(C119&gt;0,K119,"")</f>
        <v/>
      </c>
      <c r="E119" s="161" t="str">
        <f>IF(B120="ja",0,(IF(C119="","",C119*K119)))</f>
        <v/>
      </c>
      <c r="F119" s="102"/>
      <c r="G119" s="13"/>
      <c r="H119" s="2"/>
      <c r="I119" s="262"/>
      <c r="J119" s="7"/>
      <c r="K119" s="82">
        <v>0.28920000000000001</v>
      </c>
      <c r="L119" s="11" t="s">
        <v>84</v>
      </c>
      <c r="M119" s="11" t="s">
        <v>85</v>
      </c>
    </row>
    <row r="120" spans="1:13">
      <c r="A120" s="145" t="s">
        <v>126</v>
      </c>
      <c r="B120" s="60" t="s">
        <v>87</v>
      </c>
      <c r="C120" s="104"/>
      <c r="D120" s="104"/>
      <c r="E120" s="104"/>
      <c r="F120" s="102"/>
      <c r="G120" s="13"/>
      <c r="H120" s="2"/>
      <c r="I120" s="7"/>
      <c r="J120" s="7"/>
      <c r="K120" s="12"/>
      <c r="L120" s="12"/>
      <c r="M120" s="12"/>
    </row>
    <row r="121" spans="1:13">
      <c r="A121" s="146"/>
      <c r="B121" s="142"/>
      <c r="C121" s="101"/>
      <c r="D121" s="101"/>
      <c r="E121" s="101"/>
      <c r="F121" s="102"/>
      <c r="G121" s="13"/>
      <c r="H121" s="2"/>
      <c r="I121" s="262"/>
      <c r="J121" s="2"/>
      <c r="K121" s="12"/>
      <c r="L121" s="12"/>
      <c r="M121" s="12"/>
    </row>
    <row r="122" spans="1:13">
      <c r="A122" s="149" t="s">
        <v>127</v>
      </c>
      <c r="B122" s="121"/>
      <c r="C122" s="150"/>
      <c r="D122" s="150"/>
      <c r="E122" s="150"/>
      <c r="F122" s="102"/>
      <c r="G122" s="13"/>
      <c r="H122" s="2"/>
      <c r="I122" s="262"/>
      <c r="J122" s="2"/>
      <c r="K122" s="12"/>
      <c r="L122" s="12"/>
      <c r="M122" s="12"/>
    </row>
    <row r="123" spans="1:13" ht="45">
      <c r="A123" s="105"/>
      <c r="B123" s="108" t="s">
        <v>25</v>
      </c>
      <c r="C123" s="108" t="s">
        <v>26</v>
      </c>
      <c r="D123" s="109" t="s">
        <v>120</v>
      </c>
      <c r="E123" s="109" t="s">
        <v>28</v>
      </c>
      <c r="F123" s="102"/>
      <c r="G123" s="13"/>
      <c r="H123" s="2"/>
      <c r="I123" s="2"/>
      <c r="J123" s="2"/>
      <c r="K123" s="123" t="s">
        <v>31</v>
      </c>
      <c r="L123" s="123" t="s">
        <v>32</v>
      </c>
      <c r="M123" s="123" t="s">
        <v>33</v>
      </c>
    </row>
    <row r="124" spans="1:13" ht="15" customHeight="1">
      <c r="A124" s="62" t="s">
        <v>128</v>
      </c>
      <c r="B124" s="142" t="s">
        <v>35</v>
      </c>
      <c r="C124" s="73"/>
      <c r="D124" s="139" t="str">
        <f>IF(C124&gt;0,K124,"")</f>
        <v/>
      </c>
      <c r="E124" s="161" t="str">
        <f t="shared" ref="E124" si="8">IF(C124&gt;0,C124*K124,"")</f>
        <v/>
      </c>
      <c r="F124" s="102"/>
      <c r="G124" s="13"/>
      <c r="H124" s="2" t="s">
        <v>129</v>
      </c>
      <c r="I124" s="268" t="s">
        <v>130</v>
      </c>
      <c r="J124" s="2"/>
      <c r="K124" s="82">
        <f>VLOOKUP(A124,Fernheizwerke[],2)</f>
        <v>0.40643000000000001</v>
      </c>
      <c r="L124" s="11" t="s">
        <v>84</v>
      </c>
      <c r="M124" s="11" t="str">
        <f>VLOOKUP(A124,Fernheizwerke[],3)</f>
        <v>Alperia 2021</v>
      </c>
    </row>
    <row r="125" spans="1:13">
      <c r="A125" s="99" t="s">
        <v>131</v>
      </c>
      <c r="B125" s="142" t="s">
        <v>35</v>
      </c>
      <c r="C125" s="73"/>
      <c r="D125" s="61"/>
      <c r="E125" s="161" t="str">
        <f>IF(C125&gt;0,C125*D125,"")</f>
        <v/>
      </c>
      <c r="F125" s="102"/>
      <c r="G125" s="13"/>
      <c r="H125" s="2"/>
      <c r="I125" s="268"/>
      <c r="J125" s="2"/>
      <c r="K125" s="12"/>
      <c r="L125" s="12"/>
      <c r="M125" s="12"/>
    </row>
    <row r="126" spans="1:13">
      <c r="A126" s="99" t="s">
        <v>132</v>
      </c>
      <c r="B126" s="142" t="s">
        <v>35</v>
      </c>
      <c r="C126" s="68"/>
      <c r="D126" s="56"/>
      <c r="E126" s="161" t="str">
        <f>IF(C126&gt;0,C126*D126,"")</f>
        <v/>
      </c>
      <c r="F126" s="102"/>
      <c r="G126" s="13"/>
      <c r="H126" s="2"/>
      <c r="I126" s="268"/>
      <c r="J126" s="2"/>
      <c r="K126" s="12"/>
      <c r="L126" s="12"/>
      <c r="M126" s="12"/>
    </row>
    <row r="127" spans="1:13">
      <c r="A127" s="143"/>
      <c r="B127" s="100"/>
      <c r="C127" s="101"/>
      <c r="D127" s="101"/>
      <c r="E127" s="101"/>
      <c r="F127" s="102"/>
      <c r="G127" s="13"/>
      <c r="H127" s="2"/>
      <c r="I127" s="2"/>
      <c r="J127" s="2"/>
      <c r="K127" s="12"/>
      <c r="L127" s="12"/>
      <c r="M127" s="12"/>
    </row>
    <row r="128" spans="1:13">
      <c r="A128" s="136"/>
      <c r="B128" s="137"/>
      <c r="C128" s="138"/>
      <c r="D128" s="138"/>
      <c r="E128" s="138"/>
      <c r="F128" s="135"/>
      <c r="G128" s="13"/>
      <c r="H128" s="2"/>
      <c r="I128" s="2"/>
      <c r="J128" s="2"/>
      <c r="K128" s="12"/>
      <c r="L128" s="12"/>
      <c r="M128" s="12"/>
    </row>
    <row r="129" spans="1:13">
      <c r="A129" s="13"/>
      <c r="B129" s="14"/>
      <c r="C129" s="13"/>
      <c r="D129" s="13"/>
      <c r="E129" s="13"/>
      <c r="F129" s="13"/>
      <c r="G129" s="13"/>
      <c r="H129" s="2"/>
      <c r="I129" s="2"/>
      <c r="J129" s="2"/>
      <c r="K129" s="12"/>
      <c r="L129" s="12"/>
      <c r="M129" s="12"/>
    </row>
    <row r="130" spans="1:13">
      <c r="A130" s="13"/>
      <c r="B130" s="14"/>
      <c r="C130" s="13"/>
      <c r="D130" s="13"/>
      <c r="E130" s="13"/>
      <c r="F130" s="13"/>
      <c r="G130" s="13"/>
      <c r="H130" s="2"/>
      <c r="I130" s="2"/>
      <c r="J130" s="2"/>
      <c r="K130" s="12"/>
      <c r="L130" s="12"/>
      <c r="M130" s="12"/>
    </row>
    <row r="131" spans="1:13" ht="21.6" customHeight="1">
      <c r="A131" s="88" t="s">
        <v>133</v>
      </c>
      <c r="B131" s="91"/>
      <c r="C131" s="89"/>
      <c r="D131" s="89"/>
      <c r="E131" s="89"/>
      <c r="F131" s="90"/>
      <c r="G131" s="13"/>
      <c r="H131" s="6"/>
      <c r="I131" s="266"/>
      <c r="J131" s="8"/>
      <c r="K131" s="12"/>
      <c r="L131" s="12"/>
      <c r="M131" s="12"/>
    </row>
    <row r="132" spans="1:13" ht="21">
      <c r="A132" s="162"/>
      <c r="B132" s="93"/>
      <c r="C132" s="94"/>
      <c r="D132" s="94"/>
      <c r="E132" s="94"/>
      <c r="F132" s="113"/>
      <c r="G132" s="13"/>
      <c r="H132" s="2"/>
      <c r="I132" s="266"/>
      <c r="J132" s="8"/>
      <c r="K132" s="12"/>
      <c r="L132" s="12"/>
      <c r="M132" s="12"/>
    </row>
    <row r="133" spans="1:13">
      <c r="A133" s="110"/>
      <c r="B133" s="105"/>
      <c r="C133" s="105"/>
      <c r="D133" s="105"/>
      <c r="E133" s="105"/>
      <c r="F133" s="113"/>
      <c r="G133" s="13"/>
      <c r="H133" s="2"/>
      <c r="I133" s="266"/>
      <c r="J133" s="8"/>
      <c r="K133" s="12"/>
      <c r="L133" s="12"/>
      <c r="M133" s="12"/>
    </row>
    <row r="134" spans="1:13">
      <c r="A134" s="103"/>
      <c r="B134" s="104"/>
      <c r="C134" s="105"/>
      <c r="D134" s="105"/>
      <c r="E134" s="105"/>
      <c r="F134" s="113"/>
      <c r="G134" s="13"/>
      <c r="H134" s="2"/>
      <c r="I134" s="2"/>
      <c r="J134" s="2"/>
      <c r="K134" s="12"/>
      <c r="L134" s="12"/>
      <c r="M134" s="12"/>
    </row>
    <row r="135" spans="1:13" ht="15.75" thickBot="1">
      <c r="A135" s="110"/>
      <c r="B135" s="104"/>
      <c r="C135" s="108" t="s">
        <v>26</v>
      </c>
      <c r="D135" s="108" t="s">
        <v>25</v>
      </c>
      <c r="E135" s="105"/>
      <c r="F135" s="113"/>
      <c r="G135" s="13"/>
      <c r="H135" s="2"/>
      <c r="I135" s="2"/>
      <c r="J135" s="2"/>
      <c r="K135" s="12"/>
      <c r="L135" s="12"/>
      <c r="M135" s="12"/>
    </row>
    <row r="136" spans="1:13" ht="15.75" thickBot="1">
      <c r="A136" s="174" t="s">
        <v>20</v>
      </c>
      <c r="B136" s="175"/>
      <c r="C136" s="176">
        <f>SUM(C137:C139)/1000</f>
        <v>0</v>
      </c>
      <c r="D136" s="177" t="s">
        <v>134</v>
      </c>
      <c r="E136" s="105"/>
      <c r="F136" s="113"/>
      <c r="G136" s="13"/>
      <c r="H136" s="2"/>
      <c r="I136" s="2"/>
      <c r="J136" s="2"/>
      <c r="K136" s="12"/>
      <c r="L136" s="12"/>
      <c r="M136" s="12"/>
    </row>
    <row r="137" spans="1:13">
      <c r="A137" s="105" t="s">
        <v>135</v>
      </c>
      <c r="B137" s="104"/>
      <c r="C137" s="227">
        <f>SUM(E19:E33)</f>
        <v>0</v>
      </c>
      <c r="D137" s="178" t="s">
        <v>136</v>
      </c>
      <c r="E137" s="105"/>
      <c r="F137" s="113"/>
      <c r="G137" s="13"/>
      <c r="H137" s="2"/>
      <c r="I137" s="2"/>
      <c r="J137" s="2"/>
      <c r="K137" s="12"/>
      <c r="L137" s="12"/>
      <c r="M137" s="12"/>
    </row>
    <row r="138" spans="1:13">
      <c r="A138" s="105" t="s">
        <v>60</v>
      </c>
      <c r="B138" s="104"/>
      <c r="C138" s="228">
        <f>SUM(E47:E62)+SUM(E66:E106)</f>
        <v>0</v>
      </c>
      <c r="D138" s="179" t="s">
        <v>136</v>
      </c>
      <c r="E138" s="105"/>
      <c r="F138" s="113"/>
      <c r="G138" s="13"/>
      <c r="H138" s="2"/>
      <c r="I138" s="2"/>
      <c r="J138" s="2"/>
      <c r="K138" s="12"/>
      <c r="L138" s="12"/>
      <c r="M138" s="12"/>
    </row>
    <row r="139" spans="1:13">
      <c r="A139" s="105" t="s">
        <v>52</v>
      </c>
      <c r="B139" s="104"/>
      <c r="C139" s="229">
        <f>SUM(E38:E42)</f>
        <v>0</v>
      </c>
      <c r="D139" s="179" t="s">
        <v>136</v>
      </c>
      <c r="E139" s="105"/>
      <c r="F139" s="113"/>
      <c r="G139" s="13"/>
      <c r="H139" s="2"/>
      <c r="I139" s="2"/>
      <c r="J139" s="2"/>
      <c r="K139" s="12"/>
      <c r="L139" s="12"/>
      <c r="M139" s="12"/>
    </row>
    <row r="140" spans="1:13" ht="15.75" thickBot="1">
      <c r="A140" s="103"/>
      <c r="B140" s="104"/>
      <c r="C140" s="105"/>
      <c r="D140" s="180"/>
      <c r="E140" s="105"/>
      <c r="F140" s="113"/>
      <c r="G140" s="13"/>
      <c r="H140" s="2"/>
      <c r="I140" s="2"/>
      <c r="J140" s="2"/>
      <c r="K140" s="12"/>
      <c r="L140" s="12"/>
      <c r="M140" s="12"/>
    </row>
    <row r="141" spans="1:13">
      <c r="A141" s="233" t="s">
        <v>137</v>
      </c>
      <c r="B141" s="167"/>
      <c r="C141" s="168">
        <f>(C143+C145+C146+C147)/1000</f>
        <v>0</v>
      </c>
      <c r="D141" s="169" t="s">
        <v>134</v>
      </c>
      <c r="E141" s="105"/>
      <c r="F141" s="113"/>
      <c r="G141" s="13"/>
      <c r="H141" s="2"/>
      <c r="I141" s="2"/>
      <c r="J141" s="2"/>
      <c r="K141" s="12"/>
      <c r="L141" s="12"/>
      <c r="M141" s="12"/>
    </row>
    <row r="142" spans="1:13" ht="15.75" customHeight="1" thickBot="1">
      <c r="A142" s="170" t="s">
        <v>138</v>
      </c>
      <c r="B142" s="171"/>
      <c r="C142" s="172">
        <f>(C144+C146+C147)/1000</f>
        <v>0</v>
      </c>
      <c r="D142" s="173" t="s">
        <v>134</v>
      </c>
      <c r="E142" s="105"/>
      <c r="F142" s="113"/>
      <c r="G142" s="13"/>
      <c r="H142" s="2" t="s">
        <v>8</v>
      </c>
      <c r="I142" s="266" t="s">
        <v>139</v>
      </c>
      <c r="J142" s="2"/>
      <c r="K142" s="12"/>
      <c r="L142" s="12"/>
      <c r="M142" s="12"/>
    </row>
    <row r="143" spans="1:13">
      <c r="A143" s="105" t="s">
        <v>140</v>
      </c>
      <c r="B143" s="104"/>
      <c r="C143" s="230">
        <f>SUM(E115)</f>
        <v>0</v>
      </c>
      <c r="D143" s="178" t="s">
        <v>136</v>
      </c>
      <c r="E143" s="105"/>
      <c r="F143" s="113"/>
      <c r="G143" s="13"/>
      <c r="H143" s="2"/>
      <c r="I143" s="266"/>
      <c r="J143" s="2"/>
      <c r="K143" s="12"/>
      <c r="L143" s="12"/>
      <c r="M143" s="12"/>
    </row>
    <row r="144" spans="1:13">
      <c r="A144" s="105" t="s">
        <v>141</v>
      </c>
      <c r="B144" s="104"/>
      <c r="C144" s="229">
        <f>IF(C117&gt;0,SUM(E117),SUM(E115))</f>
        <v>0</v>
      </c>
      <c r="D144" s="179" t="s">
        <v>136</v>
      </c>
      <c r="E144" s="105"/>
      <c r="F144" s="113"/>
      <c r="G144" s="13"/>
      <c r="H144" s="2"/>
      <c r="I144" s="2"/>
      <c r="J144" s="2"/>
      <c r="K144" s="12"/>
      <c r="L144" s="12"/>
      <c r="M144" s="12"/>
    </row>
    <row r="145" spans="1:13">
      <c r="A145" s="105" t="s">
        <v>142</v>
      </c>
      <c r="B145" s="104"/>
      <c r="C145" s="229">
        <f>SUM(E119)</f>
        <v>0</v>
      </c>
      <c r="D145" s="179" t="s">
        <v>136</v>
      </c>
      <c r="E145" s="105"/>
      <c r="F145" s="113"/>
      <c r="G145" s="13"/>
      <c r="H145" s="2"/>
      <c r="I145" s="2"/>
      <c r="J145" s="2"/>
      <c r="K145" s="12"/>
      <c r="L145" s="12"/>
      <c r="M145" s="12"/>
    </row>
    <row r="146" spans="1:13">
      <c r="A146" s="105" t="s">
        <v>143</v>
      </c>
      <c r="B146" s="104"/>
      <c r="C146" s="229">
        <f>SUM(E124)+SUM(E125)</f>
        <v>0</v>
      </c>
      <c r="D146" s="179" t="s">
        <v>136</v>
      </c>
      <c r="E146" s="105"/>
      <c r="F146" s="113"/>
      <c r="G146" s="13"/>
      <c r="H146" s="2"/>
      <c r="I146" s="2"/>
      <c r="J146" s="2"/>
      <c r="K146" s="12"/>
      <c r="L146" s="12"/>
      <c r="M146" s="12"/>
    </row>
    <row r="147" spans="1:13">
      <c r="A147" s="105" t="s">
        <v>132</v>
      </c>
      <c r="B147" s="104"/>
      <c r="C147" s="229">
        <f>SUM(E126)</f>
        <v>0</v>
      </c>
      <c r="D147" s="179" t="s">
        <v>136</v>
      </c>
      <c r="E147" s="105"/>
      <c r="F147" s="113"/>
      <c r="G147" s="13"/>
      <c r="H147" s="2"/>
      <c r="I147" s="2"/>
      <c r="J147" s="2"/>
      <c r="K147" s="12"/>
      <c r="L147" s="12"/>
      <c r="M147" s="12"/>
    </row>
    <row r="148" spans="1:13">
      <c r="A148" s="110"/>
      <c r="B148" s="104"/>
      <c r="C148" s="105"/>
      <c r="D148" s="105"/>
      <c r="E148" s="105"/>
      <c r="F148" s="113"/>
      <c r="G148" s="13"/>
      <c r="H148" s="2"/>
      <c r="I148" s="2"/>
      <c r="J148" s="2"/>
      <c r="K148" s="12"/>
      <c r="L148" s="12"/>
      <c r="M148" s="12"/>
    </row>
    <row r="149" spans="1:13">
      <c r="A149" s="164"/>
      <c r="B149" s="165"/>
      <c r="C149" s="166"/>
      <c r="D149" s="166"/>
      <c r="E149" s="166"/>
      <c r="F149" s="163"/>
      <c r="G149" s="13"/>
      <c r="H149" s="2"/>
      <c r="I149" s="2"/>
      <c r="J149" s="2"/>
      <c r="K149" s="12"/>
      <c r="L149" s="12"/>
      <c r="M149" s="12"/>
    </row>
    <row r="150" spans="1:13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</sheetData>
  <sheetProtection algorithmName="SHA-512" hashValue="1m4H/fYBbrbHfpr4Y0tncvg25WsfC7BMokhSuKvt9wm/5/0Kjc+F6kxfipqYsAj6BgxNFxbl9ag1bidhFp8yzg==" saltValue="SW/MENIR52BHhqXGXWjU8Q==" spinCount="100000" sheet="1" objects="1" scenarios="1"/>
  <mergeCells count="23">
    <mergeCell ref="B8:D8"/>
    <mergeCell ref="B3:D3"/>
    <mergeCell ref="B4:D4"/>
    <mergeCell ref="B5:D5"/>
    <mergeCell ref="B6:D6"/>
    <mergeCell ref="B7:D7"/>
    <mergeCell ref="I97:I99"/>
    <mergeCell ref="B9:D9"/>
    <mergeCell ref="B10:D10"/>
    <mergeCell ref="I14:I16"/>
    <mergeCell ref="I18:I23"/>
    <mergeCell ref="I37:I43"/>
    <mergeCell ref="I44:I45"/>
    <mergeCell ref="H47:H48"/>
    <mergeCell ref="I47:I53"/>
    <mergeCell ref="H56:H58"/>
    <mergeCell ref="I56:I58"/>
    <mergeCell ref="A64:E64"/>
    <mergeCell ref="I117:I119"/>
    <mergeCell ref="I121:I122"/>
    <mergeCell ref="I124:I126"/>
    <mergeCell ref="I131:I133"/>
    <mergeCell ref="I142:I14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142F9E39-D2E5-40AD-9270-7603E5B12699}">
          <x14:formula1>
            <xm:f>'Fattori di emissione'!$A$4:$A$5</xm:f>
          </x14:formula1>
          <xm:sqref>B19</xm:sqref>
        </x14:dataValidation>
        <x14:dataValidation type="list" allowBlank="1" showInputMessage="1" showErrorMessage="1" xr:uid="{EC9BAACB-8536-4884-9BF1-C2E4AFDC9428}">
          <x14:formula1>
            <xm:f>'Fattori di emissione'!$A$8:$A$10</xm:f>
          </x14:formula1>
          <xm:sqref>B20</xm:sqref>
        </x14:dataValidation>
        <x14:dataValidation type="list" allowBlank="1" showInputMessage="1" showErrorMessage="1" xr:uid="{8FEB02DB-4813-4BC5-B043-6FB2B1219BA2}">
          <x14:formula1>
            <xm:f>'Fattori di emissione'!$A$18:$A$20</xm:f>
          </x14:formula1>
          <xm:sqref>B22</xm:sqref>
        </x14:dataValidation>
        <x14:dataValidation type="list" allowBlank="1" showInputMessage="1" showErrorMessage="1" xr:uid="{244A351A-B6BA-45EE-AE22-1F2DB418FA9F}">
          <x14:formula1>
            <xm:f>'Fattori di emissione'!$A$23:$A$24</xm:f>
          </x14:formula1>
          <xm:sqref>B23</xm:sqref>
        </x14:dataValidation>
        <x14:dataValidation type="list" allowBlank="1" showInputMessage="1" showErrorMessage="1" xr:uid="{42DA1930-E99A-4ED3-BECE-DB7380237A58}">
          <x14:formula1>
            <xm:f>'Fattori di emissione'!$A$31:$A$34</xm:f>
          </x14:formula1>
          <xm:sqref>B25</xm:sqref>
        </x14:dataValidation>
        <x14:dataValidation type="list" allowBlank="1" showInputMessage="1" showErrorMessage="1" xr:uid="{6AF6FA3E-FF3E-4650-89FC-A4BC8A1B333E}">
          <x14:formula1>
            <xm:f>'Fattori di emissione'!$A$37:$A$38</xm:f>
          </x14:formula1>
          <xm:sqref>B26</xm:sqref>
        </x14:dataValidation>
        <x14:dataValidation type="list" allowBlank="1" showInputMessage="1" showErrorMessage="1" xr:uid="{2D9A312D-51BC-4483-9E82-D722F86B0914}">
          <x14:formula1>
            <xm:f>'Fattori di emissione'!$A$41:$A$43</xm:f>
          </x14:formula1>
          <xm:sqref>B27</xm:sqref>
        </x14:dataValidation>
        <x14:dataValidation type="list" allowBlank="1" showInputMessage="1" showErrorMessage="1" xr:uid="{B85ECA61-2A50-458A-B84A-20CA91E34B93}">
          <x14:formula1>
            <xm:f>'Fattori di emissione'!$A$46:$A$47</xm:f>
          </x14:formula1>
          <xm:sqref>B28</xm:sqref>
        </x14:dataValidation>
        <x14:dataValidation type="list" allowBlank="1" showInputMessage="1" showErrorMessage="1" xr:uid="{1F25789C-54B9-424A-B348-7F9058DE1129}">
          <x14:formula1>
            <xm:f>Refrigeranti!$A$2:$A$23</xm:f>
          </x14:formula1>
          <xm:sqref>A40</xm:sqref>
        </x14:dataValidation>
        <x14:dataValidation type="list" showInputMessage="1" showErrorMessage="1" xr:uid="{EB97633D-D23F-42DE-9091-B574458C8EB2}">
          <x14:formula1>
            <xm:f>Refrigeranti!$A$2:$A$23</xm:f>
          </x14:formula1>
          <xm:sqref>A38</xm:sqref>
        </x14:dataValidation>
        <x14:dataValidation type="list" allowBlank="1" showInputMessage="1" showErrorMessage="1" xr:uid="{3524377A-A4AB-4824-8BA5-9E5640579EEC}">
          <x14:formula1>
            <xm:f>'Fattori di emissione'!$A$13:$A$14</xm:f>
          </x14:formula1>
          <xm:sqref>B21</xm:sqref>
        </x14:dataValidation>
        <x14:dataValidation type="list" allowBlank="1" showInputMessage="1" showErrorMessage="1" xr:uid="{EB450ECA-A796-401D-BE7D-A230818D5B37}">
          <x14:formula1>
            <xm:f>check!$A$3:$A$4</xm:f>
          </x14:formula1>
          <xm:sqref>B57 B116 B120</xm:sqref>
        </x14:dataValidation>
        <x14:dataValidation type="list" allowBlank="1" showInputMessage="1" showErrorMessage="1" xr:uid="{0A98A01D-FD02-41AB-A459-4D398D03B87A}">
          <x14:formula1>
            <xm:f>'Fattori di emissione'!$A$54:$A$55</xm:f>
          </x14:formula1>
          <xm:sqref>B29</xm:sqref>
        </x14:dataValidation>
        <x14:dataValidation type="list" allowBlank="1" showInputMessage="1" showErrorMessage="1" xr:uid="{1A400CB1-AB46-4C62-9C51-DD520624A53D}">
          <x14:formula1>
            <xm:f>'Teleriscaldamento in AA'!$A$2:$A$9</xm:f>
          </x14:formula1>
          <xm:sqref>A124</xm:sqref>
        </x14:dataValidation>
        <x14:dataValidation type="list" allowBlank="1" showInputMessage="1" showErrorMessage="1" xr:uid="{8774FFC4-BB16-4159-8ECA-09E39626180F}">
          <x14:formula1>
            <xm:f>'Fattori di emissione'!$A$27:$A$28</xm:f>
          </x14:formula1>
          <xm:sqref>B24</xm:sqref>
        </x14:dataValidation>
        <x14:dataValidation type="list" allowBlank="1" showInputMessage="1" showErrorMessage="1" xr:uid="{4203D8B9-9399-4B65-A347-54DA0E3BF4A7}">
          <x14:formula1>
            <xm:f>Refrigeranti!$A$2:$A$22</xm:f>
          </x14:formula1>
          <xm:sqref>A39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37E82-8F28-42FC-AEE8-DA7F5E204CCE}">
  <dimension ref="A1:S57"/>
  <sheetViews>
    <sheetView showGridLines="0" zoomScale="98" zoomScaleNormal="98" workbookViewId="0">
      <selection activeCell="P1" sqref="P1:S1048576"/>
    </sheetView>
  </sheetViews>
  <sheetFormatPr defaultColWidth="9.140625" defaultRowHeight="15"/>
  <cols>
    <col min="1" max="1" width="44.28515625" customWidth="1"/>
    <col min="2" max="2" width="21.85546875" style="9" customWidth="1"/>
    <col min="16" max="16" width="24.7109375" style="206" bestFit="1" customWidth="1"/>
    <col min="17" max="17" width="12.140625" style="206" bestFit="1" customWidth="1"/>
    <col min="18" max="18" width="18.7109375" style="206" customWidth="1"/>
    <col min="19" max="19" width="12.140625" style="206" bestFit="1" customWidth="1"/>
  </cols>
  <sheetData>
    <row r="1" spans="1:19" ht="26.1" customHeight="1">
      <c r="A1" s="218" t="s">
        <v>165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7" t="s">
        <v>145</v>
      </c>
    </row>
    <row r="3" spans="1:19" ht="15.75" thickBot="1">
      <c r="A3" s="2"/>
      <c r="B3" s="53">
        <v>2025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06" t="s">
        <v>20</v>
      </c>
      <c r="R3" s="206" t="s">
        <v>8</v>
      </c>
    </row>
    <row r="4" spans="1:19" ht="51.6" customHeight="1">
      <c r="A4" s="181" t="s">
        <v>146</v>
      </c>
      <c r="B4" s="183" t="s">
        <v>147</v>
      </c>
      <c r="C4" s="2"/>
      <c r="D4" s="6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06" t="s">
        <v>148</v>
      </c>
      <c r="Q4" s="208">
        <f>$B$8</f>
        <v>0</v>
      </c>
      <c r="R4" s="208">
        <f>$B$17</f>
        <v>0</v>
      </c>
      <c r="S4" s="208"/>
    </row>
    <row r="5" spans="1:19">
      <c r="A5" s="33" t="s">
        <v>135</v>
      </c>
      <c r="B5" s="85">
        <f>'Dati 2025'!C137/1000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06" t="s">
        <v>149</v>
      </c>
      <c r="Q5" s="208">
        <f>$B$8</f>
        <v>0</v>
      </c>
      <c r="R5" s="208">
        <f>$B$18</f>
        <v>0</v>
      </c>
      <c r="S5" s="208"/>
    </row>
    <row r="6" spans="1:19">
      <c r="A6" s="33" t="s">
        <v>60</v>
      </c>
      <c r="B6" s="85">
        <f>'Dati 2025'!C138/1000</f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208"/>
      <c r="R6" s="208"/>
      <c r="S6" s="208"/>
    </row>
    <row r="7" spans="1:19">
      <c r="A7" s="33" t="s">
        <v>52</v>
      </c>
      <c r="B7" s="85">
        <f>'Dati 2025'!C139/1000</f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Q7" s="208"/>
      <c r="R7" s="208"/>
      <c r="S7" s="208"/>
    </row>
    <row r="8" spans="1:19" ht="15.75" thickBot="1">
      <c r="A8" s="37" t="s">
        <v>150</v>
      </c>
      <c r="B8" s="86">
        <f>B5+B6+B7</f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08"/>
      <c r="R8" s="208"/>
      <c r="S8" s="208"/>
    </row>
    <row r="9" spans="1:19">
      <c r="A9" s="35"/>
      <c r="B9" s="3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9" ht="15.75" thickBot="1">
      <c r="A10" s="8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9" ht="53.45" customHeight="1">
      <c r="A11" s="181" t="s">
        <v>151</v>
      </c>
      <c r="B11" s="183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>
      <c r="A12" s="33" t="s">
        <v>140</v>
      </c>
      <c r="B12" s="85">
        <f>'Dati 2025'!C143/1000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>
      <c r="A13" s="33" t="s">
        <v>141</v>
      </c>
      <c r="B13" s="85">
        <f>'Dati 2025'!C144/1000</f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07" t="s">
        <v>152</v>
      </c>
    </row>
    <row r="14" spans="1:19">
      <c r="A14" s="33" t="s">
        <v>142</v>
      </c>
      <c r="B14" s="85">
        <f>'Dati 2025'!C145/1000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206" t="s">
        <v>20</v>
      </c>
      <c r="R14" s="206" t="s">
        <v>8</v>
      </c>
    </row>
    <row r="15" spans="1:19">
      <c r="A15" s="33" t="s">
        <v>143</v>
      </c>
      <c r="B15" s="85">
        <f>'Dati 2025'!C146/1000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06">
        <v>2024</v>
      </c>
      <c r="Q15" s="208">
        <f>$B$8</f>
        <v>0</v>
      </c>
      <c r="R15" s="208">
        <f>$B$17</f>
        <v>0</v>
      </c>
    </row>
    <row r="16" spans="1:19" ht="30">
      <c r="A16" s="33" t="s">
        <v>132</v>
      </c>
      <c r="B16" s="85">
        <f>'Dati 2025'!C147/1000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09"/>
      <c r="Q16" s="210"/>
    </row>
    <row r="17" spans="1:19" ht="30">
      <c r="A17" s="36" t="s">
        <v>153</v>
      </c>
      <c r="B17" s="87">
        <f>B12+B14+B15+B16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07" t="s">
        <v>154</v>
      </c>
      <c r="Q17" s="206" t="s">
        <v>20</v>
      </c>
      <c r="R17" s="206" t="s">
        <v>8</v>
      </c>
    </row>
    <row r="18" spans="1:19" ht="15.75" thickBot="1">
      <c r="A18" s="37" t="s">
        <v>155</v>
      </c>
      <c r="B18" s="86">
        <f>B13+B15+B16</f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24">
        <v>2024</v>
      </c>
      <c r="Q18" s="225">
        <f>$B$8</f>
        <v>0</v>
      </c>
      <c r="R18" s="226">
        <f>$B$18</f>
        <v>0</v>
      </c>
    </row>
    <row r="19" spans="1:19">
      <c r="A19" s="32"/>
      <c r="B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09"/>
      <c r="Q19" s="210"/>
    </row>
    <row r="20" spans="1:19" ht="15.75" thickBot="1">
      <c r="A20" s="32"/>
      <c r="B20" s="3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07" t="s">
        <v>156</v>
      </c>
      <c r="Q20" s="210"/>
      <c r="R20" s="207" t="s">
        <v>157</v>
      </c>
    </row>
    <row r="21" spans="1:19">
      <c r="A21" s="181" t="s">
        <v>158</v>
      </c>
      <c r="B21" s="22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09"/>
      <c r="Q21" s="210"/>
    </row>
    <row r="22" spans="1:19" ht="30">
      <c r="A22" s="33" t="s">
        <v>159</v>
      </c>
      <c r="B22" s="222" t="e">
        <f>(B8+B17)/('Dati 2025'!B7/1000)</f>
        <v>#DIV/0!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12" t="s">
        <v>135</v>
      </c>
      <c r="Q22" s="208">
        <f>$B$5</f>
        <v>0</v>
      </c>
      <c r="R22" s="212" t="s">
        <v>135</v>
      </c>
      <c r="S22" s="208">
        <f>$B$5</f>
        <v>0</v>
      </c>
    </row>
    <row r="23" spans="1:19" ht="30.75" thickBot="1">
      <c r="A23" s="34" t="s">
        <v>160</v>
      </c>
      <c r="B23" s="223" t="e">
        <f>(B8+B17)/'Dati 2025'!B6</f>
        <v>#DIV/0!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12" t="s">
        <v>161</v>
      </c>
      <c r="Q23" s="208">
        <f>$B$6</f>
        <v>0</v>
      </c>
      <c r="R23" s="212" t="s">
        <v>161</v>
      </c>
      <c r="S23" s="208">
        <f>$B$6</f>
        <v>0</v>
      </c>
    </row>
    <row r="24" spans="1:19" ht="30">
      <c r="A24" s="16"/>
      <c r="B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12" t="s">
        <v>52</v>
      </c>
      <c r="Q24" s="208">
        <f>$B$7</f>
        <v>0</v>
      </c>
      <c r="R24" s="212" t="s">
        <v>52</v>
      </c>
      <c r="S24" s="208">
        <f>$B$7</f>
        <v>0</v>
      </c>
    </row>
    <row r="25" spans="1:19" ht="60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12" t="s">
        <v>162</v>
      </c>
      <c r="Q25" s="208">
        <f>$B$12</f>
        <v>0</v>
      </c>
      <c r="R25" s="212" t="s">
        <v>163</v>
      </c>
      <c r="S25" s="208">
        <f>$B$13</f>
        <v>0</v>
      </c>
    </row>
    <row r="26" spans="1:19" ht="45">
      <c r="A26" s="16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12" t="s">
        <v>142</v>
      </c>
      <c r="Q26" s="208">
        <f>$B$14</f>
        <v>0</v>
      </c>
      <c r="R26" s="212" t="s">
        <v>142</v>
      </c>
      <c r="S26" s="208">
        <f>$B$14</f>
        <v>0</v>
      </c>
    </row>
    <row r="27" spans="1:19">
      <c r="A27" s="16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12" t="s">
        <v>143</v>
      </c>
      <c r="Q27" s="208">
        <f>$B$15</f>
        <v>0</v>
      </c>
      <c r="R27" s="212" t="s">
        <v>143</v>
      </c>
      <c r="S27" s="208">
        <f>$B$15</f>
        <v>0</v>
      </c>
    </row>
    <row r="28" spans="1:19" ht="60">
      <c r="A28" s="16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12" t="s">
        <v>132</v>
      </c>
      <c r="Q28" s="208">
        <f>$B$16</f>
        <v>0</v>
      </c>
      <c r="R28" s="212" t="s">
        <v>132</v>
      </c>
      <c r="S28" s="208">
        <f>$B$16</f>
        <v>0</v>
      </c>
    </row>
    <row r="29" spans="1:19">
      <c r="A29" s="16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208"/>
      <c r="R29" s="212"/>
      <c r="S29" s="208"/>
    </row>
    <row r="30" spans="1:19">
      <c r="A30" s="16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208"/>
      <c r="R30" s="212"/>
      <c r="S30" s="208"/>
    </row>
    <row r="31" spans="1:19">
      <c r="A31" s="16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208"/>
      <c r="S31" s="208"/>
    </row>
    <row r="32" spans="1:19">
      <c r="A32" s="16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07" t="s">
        <v>164</v>
      </c>
      <c r="S32" s="208"/>
    </row>
    <row r="33" spans="1:19" ht="30">
      <c r="A33" s="16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69" t="s">
        <v>20</v>
      </c>
      <c r="Q33" s="270">
        <f>$B$8</f>
        <v>0</v>
      </c>
      <c r="R33" s="212" t="s">
        <v>135</v>
      </c>
      <c r="S33" s="208">
        <f>$B$5</f>
        <v>0</v>
      </c>
    </row>
    <row r="34" spans="1:19">
      <c r="A34" s="16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69"/>
      <c r="Q34" s="269"/>
      <c r="R34" s="212" t="s">
        <v>161</v>
      </c>
      <c r="S34" s="208">
        <f>$B$6</f>
        <v>0</v>
      </c>
    </row>
    <row r="35" spans="1:19" ht="30">
      <c r="A35" s="16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69"/>
      <c r="Q35" s="269"/>
      <c r="R35" s="212" t="s">
        <v>52</v>
      </c>
      <c r="S35" s="208">
        <f>$B$7</f>
        <v>0</v>
      </c>
    </row>
    <row r="36" spans="1:19" ht="60">
      <c r="A36" s="16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69" t="s">
        <v>8</v>
      </c>
      <c r="Q36" s="270">
        <f>$B$17</f>
        <v>0</v>
      </c>
      <c r="R36" s="212" t="s">
        <v>162</v>
      </c>
      <c r="S36" s="208">
        <f>$B$12</f>
        <v>0</v>
      </c>
    </row>
    <row r="37" spans="1:19" ht="45">
      <c r="A37" s="16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69"/>
      <c r="Q37" s="269"/>
      <c r="R37" s="212" t="s">
        <v>142</v>
      </c>
      <c r="S37" s="208">
        <f>$B$14</f>
        <v>0</v>
      </c>
    </row>
    <row r="38" spans="1:19">
      <c r="A38" s="16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69"/>
      <c r="Q38" s="269"/>
      <c r="R38" s="212" t="s">
        <v>143</v>
      </c>
      <c r="S38" s="208">
        <f>$B$15</f>
        <v>0</v>
      </c>
    </row>
    <row r="39" spans="1:19" ht="60">
      <c r="A39" s="16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69"/>
      <c r="Q39" s="269"/>
      <c r="R39" s="212" t="s">
        <v>132</v>
      </c>
      <c r="S39" s="208">
        <f>$B$16</f>
        <v>0</v>
      </c>
    </row>
    <row r="40" spans="1:19">
      <c r="A40" s="16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9">
      <c r="A41" s="16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9">
      <c r="A42" s="16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9">
      <c r="A43" s="16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9">
      <c r="A44" s="16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9">
      <c r="A45" s="16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9">
      <c r="A46" s="16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9">
      <c r="A47" s="16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9">
      <c r="A48" s="16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16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16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16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16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16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16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16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16"/>
      <c r="B56" s="1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16"/>
      <c r="B57" s="1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sheetProtection algorithmName="SHA-512" hashValue="AeoT6ihMReqkEtEEqYYiK8KRqHD6R7NWSV6fGgU2aBZE392XNQWFzctW1L1PMZBvzJdi3PWAYmn9hAxoGLGKgg==" saltValue="hPEXmiE8EfqxIQQx3Mos6A==" spinCount="100000" sheet="1" objects="1" scenarios="1"/>
  <mergeCells count="4">
    <mergeCell ref="P33:P35"/>
    <mergeCell ref="Q33:Q35"/>
    <mergeCell ref="P36:P39"/>
    <mergeCell ref="Q36:Q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AE9C-6030-402A-A80A-FEAB54F30808}">
  <dimension ref="A1:M150"/>
  <sheetViews>
    <sheetView showGridLines="0" topLeftCell="A116" zoomScale="89" zoomScaleNormal="89" workbookViewId="0">
      <selection activeCell="C144" sqref="C144"/>
    </sheetView>
  </sheetViews>
  <sheetFormatPr defaultColWidth="9.140625" defaultRowHeight="15"/>
  <cols>
    <col min="1" max="1" width="48" customWidth="1"/>
    <col min="2" max="2" width="11.5703125" style="5" customWidth="1"/>
    <col min="3" max="3" width="13.28515625" customWidth="1"/>
    <col min="4" max="4" width="16.140625" customWidth="1"/>
    <col min="5" max="5" width="12.28515625" customWidth="1"/>
    <col min="6" max="6" width="5.5703125" customWidth="1"/>
    <col min="7" max="7" width="3.85546875" customWidth="1"/>
    <col min="8" max="8" width="16.140625" customWidth="1"/>
    <col min="9" max="9" width="76.140625" customWidth="1"/>
    <col min="10" max="10" width="3.85546875" customWidth="1"/>
    <col min="11" max="11" width="18.28515625" hidden="1" customWidth="1"/>
    <col min="12" max="12" width="14.85546875" hidden="1" customWidth="1"/>
    <col min="13" max="13" width="125.140625" hidden="1" customWidth="1"/>
  </cols>
  <sheetData>
    <row r="1" spans="1:13" ht="21">
      <c r="A1" s="41" t="s">
        <v>0</v>
      </c>
    </row>
    <row r="2" spans="1:13" ht="26.1" customHeight="1">
      <c r="A2" s="218" t="s">
        <v>10</v>
      </c>
      <c r="B2" s="219"/>
      <c r="C2" s="220"/>
      <c r="D2" s="220"/>
      <c r="E2" s="220"/>
      <c r="F2" s="220"/>
      <c r="G2" s="220"/>
      <c r="H2" s="92" t="s">
        <v>11</v>
      </c>
      <c r="I2" s="94"/>
      <c r="J2" s="94"/>
      <c r="K2" s="4" t="s">
        <v>12</v>
      </c>
      <c r="L2" s="1"/>
      <c r="M2" s="1"/>
    </row>
    <row r="3" spans="1:13" ht="17.45" customHeight="1">
      <c r="A3" s="3" t="s">
        <v>13</v>
      </c>
      <c r="B3" s="255"/>
      <c r="C3" s="255"/>
      <c r="D3" s="255"/>
      <c r="E3" s="3"/>
      <c r="F3" s="2"/>
      <c r="G3" s="2"/>
      <c r="H3" s="2"/>
      <c r="I3" s="2"/>
      <c r="J3" s="2"/>
      <c r="K3" s="12"/>
      <c r="L3" s="12"/>
      <c r="M3" s="12"/>
    </row>
    <row r="4" spans="1:13" ht="17.45" customHeight="1">
      <c r="A4" s="3" t="s">
        <v>14</v>
      </c>
      <c r="B4" s="256"/>
      <c r="C4" s="257"/>
      <c r="D4" s="258"/>
      <c r="E4" s="3"/>
      <c r="F4" s="2"/>
      <c r="G4" s="2"/>
      <c r="H4" s="2"/>
      <c r="I4" s="2"/>
      <c r="J4" s="2"/>
      <c r="K4" s="12"/>
      <c r="L4" s="12"/>
      <c r="M4" s="12"/>
    </row>
    <row r="5" spans="1:13">
      <c r="A5" s="3" t="s">
        <v>15</v>
      </c>
      <c r="B5" s="256"/>
      <c r="C5" s="257"/>
      <c r="D5" s="258"/>
      <c r="E5" s="2"/>
      <c r="F5" s="2"/>
      <c r="G5" s="2"/>
      <c r="H5" s="2"/>
      <c r="I5" s="2"/>
      <c r="J5" s="2"/>
      <c r="K5" s="12"/>
      <c r="L5" s="12"/>
      <c r="M5" s="12"/>
    </row>
    <row r="6" spans="1:13">
      <c r="A6" s="3" t="s">
        <v>16</v>
      </c>
      <c r="B6" s="256"/>
      <c r="C6" s="257"/>
      <c r="D6" s="258"/>
      <c r="E6" s="2"/>
      <c r="F6" s="2"/>
      <c r="G6" s="2"/>
      <c r="H6" s="2"/>
      <c r="I6" s="2"/>
      <c r="J6" s="2"/>
      <c r="K6" s="12"/>
      <c r="L6" s="12"/>
      <c r="M6" s="12"/>
    </row>
    <row r="7" spans="1:13">
      <c r="A7" s="3" t="s">
        <v>17</v>
      </c>
      <c r="B7" s="263"/>
      <c r="C7" s="263"/>
      <c r="D7" s="263"/>
      <c r="E7" s="2"/>
      <c r="F7" s="2"/>
      <c r="G7" s="2"/>
      <c r="H7" s="2"/>
      <c r="I7" s="2"/>
      <c r="J7" s="2"/>
      <c r="K7" s="12"/>
      <c r="L7" s="12"/>
      <c r="M7" s="12"/>
    </row>
    <row r="8" spans="1:13">
      <c r="A8" s="3"/>
      <c r="B8" s="255"/>
      <c r="C8" s="255"/>
      <c r="D8" s="255"/>
      <c r="E8" s="2"/>
      <c r="F8" s="2"/>
      <c r="G8" s="2"/>
      <c r="H8" s="2"/>
      <c r="I8" s="2"/>
      <c r="J8" s="2"/>
      <c r="K8" s="12"/>
      <c r="L8" s="12"/>
      <c r="M8" s="12"/>
    </row>
    <row r="9" spans="1:13">
      <c r="A9" s="3" t="s">
        <v>18</v>
      </c>
      <c r="B9" s="255"/>
      <c r="C9" s="255"/>
      <c r="D9" s="255"/>
      <c r="E9" s="2"/>
      <c r="F9" s="2"/>
      <c r="G9" s="2"/>
      <c r="H9" s="2"/>
      <c r="I9" s="2"/>
      <c r="J9" s="2"/>
      <c r="K9" s="12"/>
      <c r="L9" s="12"/>
      <c r="M9" s="12"/>
    </row>
    <row r="10" spans="1:13">
      <c r="A10" s="3" t="s">
        <v>19</v>
      </c>
      <c r="B10" s="255"/>
      <c r="C10" s="255"/>
      <c r="D10" s="255"/>
      <c r="E10" s="2"/>
      <c r="F10" s="2"/>
      <c r="G10" s="2"/>
      <c r="H10" s="2"/>
      <c r="I10" s="2"/>
      <c r="J10" s="2"/>
      <c r="K10" s="12"/>
      <c r="L10" s="12"/>
      <c r="M10" s="12"/>
    </row>
    <row r="11" spans="1:13">
      <c r="A11" s="3"/>
      <c r="B11" s="2"/>
      <c r="C11" s="2"/>
      <c r="D11" s="2"/>
      <c r="E11" s="2"/>
      <c r="F11" s="2"/>
      <c r="G11" s="2"/>
      <c r="H11" s="2"/>
      <c r="I11" s="2"/>
      <c r="J11" s="2"/>
      <c r="K11" s="12"/>
      <c r="L11" s="12"/>
      <c r="M11" s="12"/>
    </row>
    <row r="12" spans="1:13">
      <c r="A12" s="3"/>
      <c r="B12" s="2"/>
      <c r="C12" s="2"/>
      <c r="D12" s="2"/>
      <c r="E12" s="2"/>
      <c r="F12" s="2"/>
      <c r="G12" s="2"/>
      <c r="H12" s="2"/>
      <c r="I12" s="2"/>
      <c r="J12" s="2"/>
      <c r="K12" s="12"/>
      <c r="L12" s="12"/>
      <c r="M12" s="12"/>
    </row>
    <row r="13" spans="1:13">
      <c r="A13" s="13"/>
      <c r="B13" s="14"/>
      <c r="C13" s="13"/>
      <c r="D13" s="13"/>
      <c r="E13" s="13"/>
      <c r="F13" s="13"/>
      <c r="G13" s="13"/>
      <c r="H13" s="2"/>
      <c r="I13" s="2"/>
      <c r="J13" s="2"/>
      <c r="K13" s="12"/>
      <c r="L13" s="12"/>
      <c r="M13" s="12"/>
    </row>
    <row r="14" spans="1:13" ht="29.1" customHeight="1">
      <c r="A14" s="95" t="s">
        <v>20</v>
      </c>
      <c r="B14" s="96"/>
      <c r="C14" s="97"/>
      <c r="D14" s="97"/>
      <c r="E14" s="97"/>
      <c r="F14" s="98"/>
      <c r="G14" s="13"/>
      <c r="H14" s="6" t="s">
        <v>21</v>
      </c>
      <c r="I14" s="262" t="s">
        <v>22</v>
      </c>
      <c r="J14" s="7"/>
      <c r="K14" s="12"/>
      <c r="L14" s="12"/>
      <c r="M14" s="12"/>
    </row>
    <row r="15" spans="1:13">
      <c r="A15" s="99"/>
      <c r="B15" s="100"/>
      <c r="C15" s="101"/>
      <c r="D15" s="101"/>
      <c r="E15" s="101"/>
      <c r="F15" s="102"/>
      <c r="G15" s="13"/>
      <c r="H15" s="2"/>
      <c r="I15" s="262"/>
      <c r="J15" s="7"/>
      <c r="K15" s="12"/>
      <c r="L15" s="12"/>
      <c r="M15" s="12"/>
    </row>
    <row r="16" spans="1:13">
      <c r="A16" s="103" t="s">
        <v>23</v>
      </c>
      <c r="B16" s="104"/>
      <c r="C16" s="105"/>
      <c r="D16" s="105"/>
      <c r="E16" s="105"/>
      <c r="F16" s="106"/>
      <c r="G16" s="13"/>
      <c r="H16" s="2"/>
      <c r="I16" s="262"/>
      <c r="J16" s="7"/>
      <c r="K16" s="12"/>
      <c r="L16" s="12"/>
      <c r="M16" s="12"/>
    </row>
    <row r="17" spans="1:13">
      <c r="A17" s="114"/>
      <c r="B17" s="100"/>
      <c r="C17" s="101"/>
      <c r="D17" s="101"/>
      <c r="E17" s="101"/>
      <c r="F17" s="102"/>
      <c r="G17" s="13"/>
      <c r="H17" s="2"/>
      <c r="I17" s="7"/>
      <c r="J17" s="7"/>
      <c r="K17" s="12"/>
      <c r="L17" s="12"/>
      <c r="M17" s="12"/>
    </row>
    <row r="18" spans="1:13" ht="45">
      <c r="A18" s="107" t="s">
        <v>24</v>
      </c>
      <c r="B18" s="108" t="s">
        <v>25</v>
      </c>
      <c r="C18" s="108" t="s">
        <v>26</v>
      </c>
      <c r="D18" s="109" t="s">
        <v>27</v>
      </c>
      <c r="E18" s="109" t="s">
        <v>28</v>
      </c>
      <c r="F18" s="102"/>
      <c r="G18" s="13"/>
      <c r="H18" s="40" t="s">
        <v>29</v>
      </c>
      <c r="I18" s="262" t="s">
        <v>30</v>
      </c>
      <c r="J18" s="7"/>
      <c r="K18" s="123" t="s">
        <v>31</v>
      </c>
      <c r="L18" s="123" t="s">
        <v>32</v>
      </c>
      <c r="M18" s="123" t="s">
        <v>33</v>
      </c>
    </row>
    <row r="19" spans="1:13">
      <c r="A19" s="115" t="s">
        <v>34</v>
      </c>
      <c r="B19" s="55" t="s">
        <v>40</v>
      </c>
      <c r="C19" s="66"/>
      <c r="D19" s="119" t="str">
        <f t="shared" ref="D19:D29" si="0">IF(C19&gt;0,K19,"")</f>
        <v/>
      </c>
      <c r="E19" s="153" t="str">
        <f t="shared" ref="E19:E29" si="1">IF(C19&gt;0,C19*K19,"")</f>
        <v/>
      </c>
      <c r="F19" s="102"/>
      <c r="G19" s="13"/>
      <c r="H19" s="2"/>
      <c r="I19" s="262"/>
      <c r="J19" s="7"/>
      <c r="K19" s="11">
        <f>VLOOKUP(B19,Erdgas[],2)</f>
        <v>2.02</v>
      </c>
      <c r="L19" s="11" t="str">
        <f t="shared" ref="L19:L28" si="2">B19</f>
        <v>m3</v>
      </c>
      <c r="M19" s="30" t="s">
        <v>36</v>
      </c>
    </row>
    <row r="20" spans="1:13">
      <c r="A20" s="115" t="s">
        <v>37</v>
      </c>
      <c r="B20" s="55" t="s">
        <v>38</v>
      </c>
      <c r="C20" s="66"/>
      <c r="D20" s="119" t="str">
        <f t="shared" si="0"/>
        <v/>
      </c>
      <c r="E20" s="153" t="str">
        <f t="shared" si="1"/>
        <v/>
      </c>
      <c r="F20" s="102"/>
      <c r="G20" s="13"/>
      <c r="H20" s="2"/>
      <c r="I20" s="262"/>
      <c r="J20" s="7"/>
      <c r="K20" s="11">
        <f>VLOOKUP(B20,Fluessiggas[],2,0)</f>
        <v>2.98</v>
      </c>
      <c r="L20" s="11" t="str">
        <f t="shared" si="2"/>
        <v>kg</v>
      </c>
      <c r="M20" s="30" t="s">
        <v>36</v>
      </c>
    </row>
    <row r="21" spans="1:13">
      <c r="A21" s="115" t="s">
        <v>39</v>
      </c>
      <c r="B21" s="55" t="s">
        <v>40</v>
      </c>
      <c r="C21" s="66"/>
      <c r="D21" s="119" t="str">
        <f t="shared" si="0"/>
        <v/>
      </c>
      <c r="E21" s="153" t="str">
        <f t="shared" si="1"/>
        <v/>
      </c>
      <c r="F21" s="102"/>
      <c r="G21" s="13"/>
      <c r="H21" s="2"/>
      <c r="I21" s="262"/>
      <c r="J21" s="7"/>
      <c r="K21" s="11">
        <f>VLOOKUP(B21,Propan[],2)</f>
        <v>1.51</v>
      </c>
      <c r="L21" s="11" t="str">
        <f t="shared" si="2"/>
        <v>m3</v>
      </c>
      <c r="M21" s="30" t="s">
        <v>36</v>
      </c>
    </row>
    <row r="22" spans="1:13">
      <c r="A22" s="115" t="s">
        <v>41</v>
      </c>
      <c r="B22" s="55" t="s">
        <v>35</v>
      </c>
      <c r="C22" s="66"/>
      <c r="D22" s="119" t="str">
        <f t="shared" si="0"/>
        <v/>
      </c>
      <c r="E22" s="153" t="str">
        <f t="shared" si="1"/>
        <v/>
      </c>
      <c r="F22" s="102"/>
      <c r="G22" s="13"/>
      <c r="H22" s="2"/>
      <c r="I22" s="262"/>
      <c r="J22" s="7"/>
      <c r="K22" s="11">
        <f>VLOOKUP(B22,Heizoel[],2,0)</f>
        <v>0.26700000000000002</v>
      </c>
      <c r="L22" s="11" t="str">
        <f t="shared" si="2"/>
        <v>kWh</v>
      </c>
      <c r="M22" s="30" t="s">
        <v>36</v>
      </c>
    </row>
    <row r="23" spans="1:13">
      <c r="A23" s="115" t="s">
        <v>42</v>
      </c>
      <c r="B23" s="55" t="s">
        <v>35</v>
      </c>
      <c r="C23" s="66"/>
      <c r="D23" s="119" t="str">
        <f t="shared" si="0"/>
        <v/>
      </c>
      <c r="E23" s="153" t="str">
        <f t="shared" si="1"/>
        <v/>
      </c>
      <c r="F23" s="102"/>
      <c r="G23" s="13"/>
      <c r="H23" s="2"/>
      <c r="I23" s="262"/>
      <c r="J23" s="7"/>
      <c r="K23" s="11">
        <f>VLOOKUP(B23,Biogas[],2)</f>
        <v>0.152</v>
      </c>
      <c r="L23" s="11" t="str">
        <f t="shared" si="2"/>
        <v>kWh</v>
      </c>
      <c r="M23" s="30" t="s">
        <v>36</v>
      </c>
    </row>
    <row r="24" spans="1:13">
      <c r="A24" s="115" t="s">
        <v>43</v>
      </c>
      <c r="B24" s="55" t="s">
        <v>35</v>
      </c>
      <c r="C24" s="66"/>
      <c r="D24" s="119" t="str">
        <f t="shared" si="0"/>
        <v/>
      </c>
      <c r="E24" s="153" t="str">
        <f t="shared" si="1"/>
        <v/>
      </c>
      <c r="F24" s="102"/>
      <c r="G24" s="13"/>
      <c r="H24" s="2"/>
      <c r="I24" s="7"/>
      <c r="J24" s="7"/>
      <c r="K24" s="11">
        <f>VLOOKUP(B24,Biooel[],2)</f>
        <v>0.11700000000000001</v>
      </c>
      <c r="L24" s="11" t="str">
        <f>B24</f>
        <v>kWh</v>
      </c>
      <c r="M24" s="30" t="s">
        <v>36</v>
      </c>
    </row>
    <row r="25" spans="1:13">
      <c r="A25" s="115" t="s">
        <v>44</v>
      </c>
      <c r="B25" s="55" t="s">
        <v>38</v>
      </c>
      <c r="C25" s="66"/>
      <c r="D25" s="119" t="str">
        <f t="shared" si="0"/>
        <v/>
      </c>
      <c r="E25" s="153" t="str">
        <f t="shared" si="1"/>
        <v/>
      </c>
      <c r="F25" s="102"/>
      <c r="G25" s="13"/>
      <c r="H25" s="2"/>
      <c r="I25" s="2"/>
      <c r="J25" s="2"/>
      <c r="K25" s="11">
        <f>VLOOKUP(B25,Brennholz[],2,0)</f>
        <v>0.11</v>
      </c>
      <c r="L25" s="11" t="str">
        <f t="shared" si="2"/>
        <v>kg</v>
      </c>
      <c r="M25" s="30" t="s">
        <v>36</v>
      </c>
    </row>
    <row r="26" spans="1:13">
      <c r="A26" s="115" t="s">
        <v>45</v>
      </c>
      <c r="B26" s="55" t="s">
        <v>35</v>
      </c>
      <c r="C26" s="66"/>
      <c r="D26" s="119" t="str">
        <f t="shared" si="0"/>
        <v/>
      </c>
      <c r="E26" s="153" t="str">
        <f t="shared" si="1"/>
        <v/>
      </c>
      <c r="F26" s="102"/>
      <c r="G26" s="13"/>
      <c r="H26" s="2"/>
      <c r="I26" s="2"/>
      <c r="J26" s="2"/>
      <c r="K26" s="11">
        <f>VLOOKUP(B26,Holzpellets[],2,0)</f>
        <v>3.5999999999999997E-2</v>
      </c>
      <c r="L26" s="11" t="str">
        <f t="shared" si="2"/>
        <v>kWh</v>
      </c>
      <c r="M26" s="30" t="s">
        <v>36</v>
      </c>
    </row>
    <row r="27" spans="1:13">
      <c r="A27" s="115" t="s">
        <v>46</v>
      </c>
      <c r="B27" s="55" t="s">
        <v>47</v>
      </c>
      <c r="C27" s="66"/>
      <c r="D27" s="119" t="str">
        <f t="shared" si="0"/>
        <v/>
      </c>
      <c r="E27" s="153" t="str">
        <f t="shared" si="1"/>
        <v/>
      </c>
      <c r="F27" s="102"/>
      <c r="G27" s="13"/>
      <c r="H27" s="2"/>
      <c r="I27" s="2"/>
      <c r="J27" s="2"/>
      <c r="K27" s="11">
        <f>VLOOKUP(B27,Hackschnitzel[],2,0)</f>
        <v>9.7439999999999998</v>
      </c>
      <c r="L27" s="11" t="str">
        <f t="shared" si="2"/>
        <v>msr</v>
      </c>
      <c r="M27" s="30" t="s">
        <v>36</v>
      </c>
    </row>
    <row r="28" spans="1:13">
      <c r="A28" s="115" t="s">
        <v>48</v>
      </c>
      <c r="B28" s="55" t="s">
        <v>35</v>
      </c>
      <c r="C28" s="66"/>
      <c r="D28" s="119" t="str">
        <f t="shared" si="0"/>
        <v/>
      </c>
      <c r="E28" s="153" t="str">
        <f t="shared" si="1"/>
        <v/>
      </c>
      <c r="F28" s="102"/>
      <c r="G28" s="13"/>
      <c r="H28" s="2"/>
      <c r="I28" s="2"/>
      <c r="J28" s="2"/>
      <c r="K28" s="11">
        <f>VLOOKUP(B28,Grey_H2[],2,0)</f>
        <v>0.39800000000000002</v>
      </c>
      <c r="L28" s="11" t="str">
        <f t="shared" si="2"/>
        <v>kWh</v>
      </c>
      <c r="M28" s="30" t="s">
        <v>36</v>
      </c>
    </row>
    <row r="29" spans="1:13">
      <c r="A29" s="115" t="s">
        <v>49</v>
      </c>
      <c r="B29" s="55" t="s">
        <v>35</v>
      </c>
      <c r="C29" s="66"/>
      <c r="D29" s="119" t="str">
        <f t="shared" si="0"/>
        <v/>
      </c>
      <c r="E29" s="153" t="str">
        <f t="shared" si="1"/>
        <v/>
      </c>
      <c r="F29" s="102"/>
      <c r="G29" s="13"/>
      <c r="H29" s="2"/>
      <c r="I29" s="2"/>
      <c r="J29" s="2"/>
      <c r="K29" s="11">
        <f>VLOOKUP(B29,Green_H2[],2,0)</f>
        <v>2.5999999999999999E-2</v>
      </c>
      <c r="L29" s="11" t="str">
        <f>B28</f>
        <v>kWh</v>
      </c>
      <c r="M29" s="30" t="s">
        <v>36</v>
      </c>
    </row>
    <row r="30" spans="1:13" ht="15" customHeight="1">
      <c r="A30" s="110" t="s">
        <v>50</v>
      </c>
      <c r="B30" s="104"/>
      <c r="C30" s="111"/>
      <c r="D30" s="112"/>
      <c r="E30" s="154"/>
      <c r="F30" s="102"/>
      <c r="G30" s="13"/>
      <c r="H30" s="2"/>
      <c r="I30" s="16" t="s">
        <v>51</v>
      </c>
      <c r="J30" s="2"/>
      <c r="K30" s="12"/>
      <c r="L30" s="12"/>
      <c r="M30" s="12"/>
    </row>
    <row r="31" spans="1:13" ht="15" customHeight="1">
      <c r="A31" s="56"/>
      <c r="B31" s="55"/>
      <c r="C31" s="66"/>
      <c r="D31" s="80"/>
      <c r="E31" s="153" t="str">
        <f>IF(C31&gt;0,C31*D31,"")</f>
        <v/>
      </c>
      <c r="F31" s="102"/>
      <c r="G31" s="13"/>
      <c r="H31" s="2"/>
      <c r="I31" s="16"/>
      <c r="J31" s="2"/>
      <c r="K31" s="12"/>
      <c r="L31" s="12"/>
      <c r="M31" s="12"/>
    </row>
    <row r="32" spans="1:13" ht="15" customHeight="1">
      <c r="A32" s="56"/>
      <c r="B32" s="55"/>
      <c r="C32" s="66"/>
      <c r="D32" s="80"/>
      <c r="E32" s="153" t="str">
        <f>IF(C32&gt;0,C32*D32,"")</f>
        <v/>
      </c>
      <c r="F32" s="102"/>
      <c r="G32" s="13"/>
      <c r="H32" s="2"/>
      <c r="I32" s="16"/>
      <c r="J32" s="2"/>
      <c r="K32" s="12"/>
      <c r="L32" s="12"/>
      <c r="M32" s="12"/>
    </row>
    <row r="33" spans="1:13" ht="15" customHeight="1">
      <c r="A33" s="56"/>
      <c r="B33" s="55"/>
      <c r="C33" s="66"/>
      <c r="D33" s="80"/>
      <c r="E33" s="153" t="str">
        <f>IF(C33&gt;0,C33*D33,"")</f>
        <v/>
      </c>
      <c r="F33" s="102"/>
      <c r="G33" s="13"/>
      <c r="H33" s="2"/>
      <c r="I33" s="16"/>
      <c r="J33" s="2"/>
      <c r="K33" s="12"/>
      <c r="L33" s="12"/>
      <c r="M33" s="12"/>
    </row>
    <row r="34" spans="1:13">
      <c r="A34" s="99"/>
      <c r="B34" s="100"/>
      <c r="C34" s="101"/>
      <c r="D34" s="101"/>
      <c r="E34" s="101"/>
      <c r="F34" s="102"/>
      <c r="G34" s="13"/>
      <c r="H34" s="2"/>
      <c r="I34" s="2"/>
      <c r="J34" s="2"/>
      <c r="K34" s="12"/>
      <c r="L34" s="12"/>
      <c r="M34" s="12"/>
    </row>
    <row r="35" spans="1:13" ht="17.100000000000001" customHeight="1">
      <c r="A35" s="103" t="s">
        <v>52</v>
      </c>
      <c r="B35" s="116"/>
      <c r="C35" s="105"/>
      <c r="D35" s="105"/>
      <c r="E35" s="105"/>
      <c r="F35" s="106"/>
      <c r="G35" s="13"/>
      <c r="H35" s="2"/>
      <c r="I35" s="2"/>
      <c r="J35" s="2"/>
      <c r="K35" s="12"/>
      <c r="L35" s="12"/>
      <c r="M35" s="12"/>
    </row>
    <row r="36" spans="1:13" ht="18.95" customHeight="1">
      <c r="A36" s="99"/>
      <c r="B36" s="100"/>
      <c r="C36" s="117"/>
      <c r="D36" s="117"/>
      <c r="E36" s="117"/>
      <c r="F36" s="102"/>
      <c r="G36" s="13"/>
      <c r="H36" s="2"/>
      <c r="I36" s="2"/>
      <c r="J36" s="2"/>
      <c r="K36" s="12"/>
      <c r="L36" s="12"/>
      <c r="M36" s="12"/>
    </row>
    <row r="37" spans="1:13" ht="45">
      <c r="A37" s="122" t="s">
        <v>53</v>
      </c>
      <c r="B37" s="108" t="s">
        <v>25</v>
      </c>
      <c r="C37" s="108" t="s">
        <v>26</v>
      </c>
      <c r="D37" s="109" t="s">
        <v>54</v>
      </c>
      <c r="E37" s="109" t="s">
        <v>28</v>
      </c>
      <c r="F37" s="102"/>
      <c r="G37" s="13"/>
      <c r="H37" s="2" t="s">
        <v>55</v>
      </c>
      <c r="I37" s="262" t="s">
        <v>56</v>
      </c>
      <c r="J37" s="7"/>
      <c r="K37" s="123" t="s">
        <v>31</v>
      </c>
      <c r="L37" s="123" t="s">
        <v>32</v>
      </c>
      <c r="M37" s="123" t="s">
        <v>33</v>
      </c>
    </row>
    <row r="38" spans="1:13">
      <c r="A38" s="56" t="s">
        <v>57</v>
      </c>
      <c r="B38" s="118" t="s">
        <v>38</v>
      </c>
      <c r="C38" s="67"/>
      <c r="D38" s="155" t="str">
        <f>IF(C38&gt;0,K38,"")</f>
        <v/>
      </c>
      <c r="E38" s="159" t="str">
        <f>IF(C38&gt;0,C38*K38,"")</f>
        <v/>
      </c>
      <c r="F38" s="102"/>
      <c r="G38" s="13"/>
      <c r="H38" s="2"/>
      <c r="I38" s="262"/>
      <c r="J38" s="7"/>
      <c r="K38" s="11">
        <f>VLOOKUP(A38,Kaeltemittel_IT[],2,0)</f>
        <v>0</v>
      </c>
      <c r="L38" s="11" t="s">
        <v>58</v>
      </c>
      <c r="M38" s="11" t="s">
        <v>59</v>
      </c>
    </row>
    <row r="39" spans="1:13">
      <c r="A39" s="56" t="s">
        <v>57</v>
      </c>
      <c r="B39" s="118" t="s">
        <v>38</v>
      </c>
      <c r="C39" s="67"/>
      <c r="D39" s="155" t="str">
        <f>IF(C39&gt;0,K39,"")</f>
        <v/>
      </c>
      <c r="E39" s="159" t="str">
        <f>IF(C39&gt;0,C39*K39,"")</f>
        <v/>
      </c>
      <c r="F39" s="102"/>
      <c r="G39" s="13"/>
      <c r="H39" s="2"/>
      <c r="I39" s="262"/>
      <c r="J39" s="7"/>
      <c r="K39" s="11">
        <f>VLOOKUP(A39,Kaeltemittel_IT[],2,0)</f>
        <v>0</v>
      </c>
      <c r="L39" s="11" t="s">
        <v>58</v>
      </c>
      <c r="M39" s="11" t="s">
        <v>59</v>
      </c>
    </row>
    <row r="40" spans="1:13">
      <c r="A40" s="56" t="s">
        <v>57</v>
      </c>
      <c r="B40" s="118" t="s">
        <v>38</v>
      </c>
      <c r="C40" s="67"/>
      <c r="D40" s="155" t="str">
        <f>IF(C40&gt;0,K40,"")</f>
        <v/>
      </c>
      <c r="E40" s="159" t="str">
        <f>IF(C40&gt;0,C40*K40,"")</f>
        <v/>
      </c>
      <c r="F40" s="102"/>
      <c r="G40" s="13"/>
      <c r="H40" s="2"/>
      <c r="I40" s="262"/>
      <c r="J40" s="7"/>
      <c r="K40" s="11">
        <f>VLOOKUP(A40,Kaeltemittel_IT[],2,0)</f>
        <v>0</v>
      </c>
      <c r="L40" s="11" t="s">
        <v>58</v>
      </c>
      <c r="M40" s="11" t="s">
        <v>59</v>
      </c>
    </row>
    <row r="41" spans="1:13">
      <c r="A41" s="110" t="s">
        <v>50</v>
      </c>
      <c r="B41" s="104"/>
      <c r="C41" s="120"/>
      <c r="D41" s="156"/>
      <c r="E41" s="160" t="str">
        <f>IF(C41&gt;0,C41*D41,"")</f>
        <v/>
      </c>
      <c r="F41" s="102"/>
      <c r="G41" s="13"/>
      <c r="H41" s="2"/>
      <c r="I41" s="262"/>
      <c r="J41" s="7"/>
      <c r="K41" s="12"/>
      <c r="L41" s="12"/>
      <c r="M41" s="12"/>
    </row>
    <row r="42" spans="1:13">
      <c r="A42" s="57"/>
      <c r="B42" s="118" t="s">
        <v>38</v>
      </c>
      <c r="C42" s="67"/>
      <c r="D42" s="157"/>
      <c r="E42" s="159" t="str">
        <f>IF(C42&gt;0,C42*D42,"")</f>
        <v/>
      </c>
      <c r="F42" s="102"/>
      <c r="G42" s="13"/>
      <c r="H42" s="2"/>
      <c r="I42" s="262"/>
      <c r="J42" s="7"/>
      <c r="K42" s="12"/>
      <c r="L42" s="12"/>
      <c r="M42" s="12"/>
    </row>
    <row r="43" spans="1:13" ht="17.45" customHeight="1">
      <c r="A43" s="99"/>
      <c r="B43" s="100"/>
      <c r="C43" s="101"/>
      <c r="D43" s="101"/>
      <c r="E43" s="101"/>
      <c r="F43" s="102"/>
      <c r="G43" s="13"/>
      <c r="H43" s="2"/>
      <c r="I43" s="262"/>
      <c r="J43" s="7"/>
      <c r="K43" s="12"/>
      <c r="L43" s="12"/>
      <c r="M43" s="12"/>
    </row>
    <row r="44" spans="1:13">
      <c r="A44" s="103" t="s">
        <v>60</v>
      </c>
      <c r="B44" s="104"/>
      <c r="C44" s="105"/>
      <c r="D44" s="105"/>
      <c r="E44" s="105"/>
      <c r="F44" s="106"/>
      <c r="G44" s="13"/>
      <c r="H44" s="2" t="s">
        <v>61</v>
      </c>
      <c r="I44" s="262" t="s">
        <v>62</v>
      </c>
      <c r="J44" s="7"/>
      <c r="K44" s="12"/>
      <c r="L44" s="12"/>
      <c r="M44" s="12"/>
    </row>
    <row r="45" spans="1:13" ht="16.149999999999999" customHeight="1">
      <c r="A45" s="99"/>
      <c r="B45" s="100"/>
      <c r="C45" s="117"/>
      <c r="D45" s="117"/>
      <c r="E45" s="117"/>
      <c r="F45" s="102"/>
      <c r="G45" s="13"/>
      <c r="H45" s="2"/>
      <c r="I45" s="262"/>
      <c r="J45" s="7"/>
      <c r="K45" s="12"/>
      <c r="L45" s="12"/>
      <c r="M45" s="12"/>
    </row>
    <row r="46" spans="1:13" ht="45">
      <c r="A46" s="124" t="s">
        <v>63</v>
      </c>
      <c r="B46" s="108" t="s">
        <v>25</v>
      </c>
      <c r="C46" s="108" t="s">
        <v>26</v>
      </c>
      <c r="D46" s="109" t="s">
        <v>27</v>
      </c>
      <c r="E46" s="109" t="s">
        <v>28</v>
      </c>
      <c r="F46" s="102"/>
      <c r="G46" s="13"/>
      <c r="H46" s="2"/>
      <c r="I46" s="2"/>
      <c r="J46" s="2"/>
      <c r="K46" s="123" t="s">
        <v>31</v>
      </c>
      <c r="L46" s="123" t="s">
        <v>32</v>
      </c>
      <c r="M46" s="123" t="s">
        <v>33</v>
      </c>
    </row>
    <row r="47" spans="1:13" ht="21.6" customHeight="1">
      <c r="A47" s="99" t="s">
        <v>64</v>
      </c>
      <c r="B47" s="118" t="s">
        <v>65</v>
      </c>
      <c r="C47" s="71"/>
      <c r="D47" s="119" t="str">
        <f t="shared" ref="D47:D56" si="3">IF(C47&gt;0,K47,"")</f>
        <v/>
      </c>
      <c r="E47" s="153" t="str">
        <f t="shared" ref="E47:E55" si="4">IF(C47&gt;0,C47*D47,"")</f>
        <v/>
      </c>
      <c r="F47" s="102"/>
      <c r="G47" s="13"/>
      <c r="H47" s="267" t="s">
        <v>66</v>
      </c>
      <c r="I47" s="262" t="s">
        <v>67</v>
      </c>
      <c r="J47" s="7"/>
      <c r="K47" s="82">
        <v>2.879</v>
      </c>
      <c r="L47" s="11" t="s">
        <v>68</v>
      </c>
      <c r="M47" s="11" t="s">
        <v>69</v>
      </c>
    </row>
    <row r="48" spans="1:13">
      <c r="A48" s="133" t="s">
        <v>70</v>
      </c>
      <c r="B48" s="118" t="s">
        <v>65</v>
      </c>
      <c r="C48" s="71"/>
      <c r="D48" s="119" t="str">
        <f t="shared" si="3"/>
        <v/>
      </c>
      <c r="E48" s="153" t="str">
        <f t="shared" si="4"/>
        <v/>
      </c>
      <c r="F48" s="102"/>
      <c r="G48" s="13"/>
      <c r="H48" s="262"/>
      <c r="I48" s="262"/>
      <c r="J48" s="7"/>
      <c r="K48" s="82">
        <v>3.1</v>
      </c>
      <c r="L48" s="11" t="s">
        <v>68</v>
      </c>
      <c r="M48" s="11" t="s">
        <v>69</v>
      </c>
    </row>
    <row r="49" spans="1:13">
      <c r="A49" s="133" t="s">
        <v>71</v>
      </c>
      <c r="B49" s="118" t="s">
        <v>65</v>
      </c>
      <c r="C49" s="71"/>
      <c r="D49" s="119" t="str">
        <f t="shared" si="3"/>
        <v/>
      </c>
      <c r="E49" s="153" t="str">
        <f t="shared" si="4"/>
        <v/>
      </c>
      <c r="F49" s="102"/>
      <c r="G49" s="13"/>
      <c r="H49" s="2"/>
      <c r="I49" s="262"/>
      <c r="J49" s="7"/>
      <c r="K49" s="82">
        <v>0.81200000000000006</v>
      </c>
      <c r="L49" s="11" t="s">
        <v>68</v>
      </c>
      <c r="M49" s="11" t="s">
        <v>72</v>
      </c>
    </row>
    <row r="50" spans="1:13">
      <c r="A50" s="133" t="s">
        <v>73</v>
      </c>
      <c r="B50" s="118" t="s">
        <v>65</v>
      </c>
      <c r="C50" s="71"/>
      <c r="D50" s="119" t="str">
        <f t="shared" si="3"/>
        <v/>
      </c>
      <c r="E50" s="153" t="str">
        <f t="shared" si="4"/>
        <v/>
      </c>
      <c r="F50" s="102"/>
      <c r="G50" s="13"/>
      <c r="H50" s="2"/>
      <c r="I50" s="262"/>
      <c r="J50" s="7"/>
      <c r="K50" s="82">
        <v>0.439</v>
      </c>
      <c r="L50" s="11" t="s">
        <v>68</v>
      </c>
      <c r="M50" s="11" t="s">
        <v>72</v>
      </c>
    </row>
    <row r="51" spans="1:13">
      <c r="A51" s="133" t="s">
        <v>74</v>
      </c>
      <c r="B51" s="118" t="s">
        <v>38</v>
      </c>
      <c r="C51" s="71"/>
      <c r="D51" s="119" t="str">
        <f t="shared" si="3"/>
        <v/>
      </c>
      <c r="E51" s="153" t="str">
        <f t="shared" si="4"/>
        <v/>
      </c>
      <c r="F51" s="102"/>
      <c r="G51" s="13"/>
      <c r="H51" s="2"/>
      <c r="I51" s="262"/>
      <c r="J51" s="7"/>
      <c r="K51" s="82">
        <v>1.544</v>
      </c>
      <c r="L51" s="11" t="s">
        <v>75</v>
      </c>
      <c r="M51" s="11" t="s">
        <v>76</v>
      </c>
    </row>
    <row r="52" spans="1:13">
      <c r="A52" s="133" t="s">
        <v>77</v>
      </c>
      <c r="B52" s="118" t="s">
        <v>38</v>
      </c>
      <c r="C52" s="71"/>
      <c r="D52" s="119" t="str">
        <f t="shared" si="3"/>
        <v/>
      </c>
      <c r="E52" s="153" t="str">
        <f t="shared" si="4"/>
        <v/>
      </c>
      <c r="F52" s="102"/>
      <c r="G52" s="13"/>
      <c r="H52" s="2"/>
      <c r="I52" s="262"/>
      <c r="J52" s="7"/>
      <c r="K52" s="82">
        <v>2.98</v>
      </c>
      <c r="L52" s="11" t="s">
        <v>75</v>
      </c>
      <c r="M52" s="11" t="s">
        <v>78</v>
      </c>
    </row>
    <row r="53" spans="1:13">
      <c r="A53" s="133" t="s">
        <v>79</v>
      </c>
      <c r="B53" s="118" t="s">
        <v>65</v>
      </c>
      <c r="C53" s="71"/>
      <c r="D53" s="119" t="str">
        <f t="shared" si="3"/>
        <v/>
      </c>
      <c r="E53" s="153" t="str">
        <f t="shared" si="4"/>
        <v/>
      </c>
      <c r="F53" s="102"/>
      <c r="G53" s="13"/>
      <c r="H53" s="2"/>
      <c r="I53" s="262"/>
      <c r="J53" s="7"/>
      <c r="K53" s="82">
        <v>2.036</v>
      </c>
      <c r="L53" s="11" t="s">
        <v>68</v>
      </c>
      <c r="M53" s="11" t="s">
        <v>69</v>
      </c>
    </row>
    <row r="54" spans="1:13">
      <c r="A54" s="115" t="s">
        <v>48</v>
      </c>
      <c r="B54" s="118" t="s">
        <v>38</v>
      </c>
      <c r="C54" s="71"/>
      <c r="D54" s="119" t="str">
        <f t="shared" si="3"/>
        <v/>
      </c>
      <c r="E54" s="153" t="str">
        <f t="shared" si="4"/>
        <v/>
      </c>
      <c r="F54" s="102"/>
      <c r="G54" s="13"/>
      <c r="H54" s="2"/>
      <c r="I54" s="7"/>
      <c r="J54" s="7"/>
      <c r="K54" s="82">
        <v>13.24</v>
      </c>
      <c r="L54" s="11" t="s">
        <v>75</v>
      </c>
      <c r="M54" s="11" t="s">
        <v>80</v>
      </c>
    </row>
    <row r="55" spans="1:13">
      <c r="A55" s="115" t="s">
        <v>49</v>
      </c>
      <c r="B55" s="118" t="s">
        <v>38</v>
      </c>
      <c r="C55" s="71"/>
      <c r="D55" s="119" t="str">
        <f t="shared" si="3"/>
        <v/>
      </c>
      <c r="E55" s="153" t="str">
        <f t="shared" si="4"/>
        <v/>
      </c>
      <c r="F55" s="102"/>
      <c r="G55" s="13"/>
      <c r="H55" s="2"/>
      <c r="I55" s="7"/>
      <c r="J55" s="7"/>
      <c r="K55" s="82">
        <v>0.88</v>
      </c>
      <c r="L55" s="11" t="s">
        <v>75</v>
      </c>
      <c r="M55" s="11" t="s">
        <v>80</v>
      </c>
    </row>
    <row r="56" spans="1:13" ht="15" customHeight="1">
      <c r="A56" s="134" t="s">
        <v>81</v>
      </c>
      <c r="B56" s="118" t="s">
        <v>35</v>
      </c>
      <c r="C56" s="71"/>
      <c r="D56" s="119" t="str">
        <f t="shared" si="3"/>
        <v/>
      </c>
      <c r="E56" s="153" t="str">
        <f>IF(B57="ja",0,(IF(C56="","",C56*K56)))</f>
        <v/>
      </c>
      <c r="F56" s="102"/>
      <c r="G56" s="13"/>
      <c r="H56" s="264" t="s">
        <v>82</v>
      </c>
      <c r="I56" s="262" t="s">
        <v>83</v>
      </c>
      <c r="J56" s="2"/>
      <c r="K56" s="82">
        <v>0.28920000000000001</v>
      </c>
      <c r="L56" s="11" t="s">
        <v>84</v>
      </c>
      <c r="M56" s="11" t="s">
        <v>85</v>
      </c>
    </row>
    <row r="57" spans="1:13">
      <c r="A57" s="125" t="s">
        <v>86</v>
      </c>
      <c r="B57" s="55" t="s">
        <v>87</v>
      </c>
      <c r="C57" s="104"/>
      <c r="D57" s="112"/>
      <c r="E57" s="154"/>
      <c r="F57" s="102"/>
      <c r="G57" s="13"/>
      <c r="H57" s="265"/>
      <c r="I57" s="262"/>
      <c r="J57" s="2"/>
      <c r="K57" s="12"/>
      <c r="L57" s="12"/>
      <c r="M57" s="12"/>
    </row>
    <row r="58" spans="1:13">
      <c r="A58" s="126" t="s">
        <v>88</v>
      </c>
      <c r="B58" s="127" t="s">
        <v>84</v>
      </c>
      <c r="C58" s="58"/>
      <c r="D58" s="112"/>
      <c r="E58" s="153" t="str">
        <f>IF(C58="","",C56*C58)</f>
        <v/>
      </c>
      <c r="F58" s="102"/>
      <c r="G58" s="13"/>
      <c r="H58" s="265"/>
      <c r="I58" s="262"/>
      <c r="J58" s="2"/>
      <c r="K58" s="12"/>
      <c r="L58" s="12"/>
      <c r="M58" s="12"/>
    </row>
    <row r="59" spans="1:13">
      <c r="A59" s="110" t="s">
        <v>50</v>
      </c>
      <c r="B59" s="127"/>
      <c r="C59" s="128"/>
      <c r="D59" s="129"/>
      <c r="E59" s="158"/>
      <c r="F59" s="102"/>
      <c r="G59" s="13"/>
      <c r="H59" s="2"/>
      <c r="I59" s="7"/>
      <c r="J59" s="2"/>
      <c r="K59" s="12"/>
      <c r="L59" s="12"/>
      <c r="M59" s="12"/>
    </row>
    <row r="60" spans="1:13">
      <c r="A60" s="57"/>
      <c r="B60" s="59"/>
      <c r="C60" s="72"/>
      <c r="D60" s="81"/>
      <c r="E60" s="159" t="str">
        <f>IF(C60&gt;0,C60*D60,"")</f>
        <v/>
      </c>
      <c r="F60" s="102"/>
      <c r="G60" s="13"/>
      <c r="H60" s="2"/>
      <c r="I60" s="2"/>
      <c r="J60" s="2"/>
      <c r="K60" s="12"/>
      <c r="L60" s="12"/>
      <c r="M60" s="12"/>
    </row>
    <row r="61" spans="1:13">
      <c r="A61" s="56"/>
      <c r="B61" s="59"/>
      <c r="C61" s="72"/>
      <c r="D61" s="81"/>
      <c r="E61" s="159" t="str">
        <f t="shared" ref="E61:E62" si="5">IF(C61&gt;0,C61*D61,"")</f>
        <v/>
      </c>
      <c r="F61" s="102"/>
      <c r="G61" s="13"/>
      <c r="H61" s="2"/>
      <c r="I61" s="2"/>
      <c r="J61" s="2"/>
      <c r="K61" s="12"/>
      <c r="L61" s="12"/>
      <c r="M61" s="12"/>
    </row>
    <row r="62" spans="1:13">
      <c r="A62" s="56"/>
      <c r="B62" s="59"/>
      <c r="C62" s="72"/>
      <c r="D62" s="81"/>
      <c r="E62" s="159" t="str">
        <f t="shared" si="5"/>
        <v/>
      </c>
      <c r="F62" s="102"/>
      <c r="G62" s="13"/>
      <c r="H62" s="2"/>
      <c r="I62" s="2"/>
      <c r="J62" s="2"/>
      <c r="K62" s="12"/>
      <c r="L62" s="12"/>
      <c r="M62" s="12"/>
    </row>
    <row r="63" spans="1:13" ht="15.75" thickBot="1">
      <c r="A63" s="99"/>
      <c r="B63" s="100"/>
      <c r="C63" s="101"/>
      <c r="D63" s="101"/>
      <c r="E63" s="101"/>
      <c r="F63" s="102"/>
      <c r="G63" s="13"/>
      <c r="H63" s="2"/>
      <c r="I63" s="2"/>
      <c r="J63" s="2"/>
      <c r="K63" s="12"/>
      <c r="L63" s="12"/>
      <c r="M63" s="12"/>
    </row>
    <row r="64" spans="1:13" ht="30" customHeight="1" thickBot="1">
      <c r="A64" s="259" t="s">
        <v>89</v>
      </c>
      <c r="B64" s="260"/>
      <c r="C64" s="260"/>
      <c r="D64" s="260"/>
      <c r="E64" s="261"/>
      <c r="F64" s="102"/>
      <c r="G64" s="13"/>
      <c r="H64" s="2"/>
      <c r="I64" s="2"/>
      <c r="J64" s="2"/>
      <c r="K64" s="12"/>
      <c r="L64" s="12"/>
      <c r="M64" s="12"/>
    </row>
    <row r="65" spans="1:13" ht="45">
      <c r="A65" s="107" t="s">
        <v>90</v>
      </c>
      <c r="B65" s="108" t="s">
        <v>25</v>
      </c>
      <c r="C65" s="108" t="s">
        <v>26</v>
      </c>
      <c r="D65" s="109" t="s">
        <v>91</v>
      </c>
      <c r="E65" s="109" t="s">
        <v>28</v>
      </c>
      <c r="F65" s="102"/>
      <c r="G65" s="13"/>
      <c r="H65" s="2"/>
      <c r="I65" s="2"/>
      <c r="J65" s="2"/>
      <c r="K65" s="123" t="s">
        <v>31</v>
      </c>
      <c r="L65" s="123" t="s">
        <v>32</v>
      </c>
      <c r="M65" s="123" t="s">
        <v>33</v>
      </c>
    </row>
    <row r="66" spans="1:13">
      <c r="A66" s="232" t="s">
        <v>92</v>
      </c>
      <c r="B66" s="118" t="s">
        <v>93</v>
      </c>
      <c r="C66" s="69"/>
      <c r="D66" s="139" t="str">
        <f t="shared" ref="D66:D104" si="6">IF(C66&gt;0,K66,"")</f>
        <v/>
      </c>
      <c r="E66" s="161" t="str">
        <f t="shared" ref="E66:E104" si="7">IF(C66&gt;0,C66*K66,"")</f>
        <v/>
      </c>
      <c r="F66" s="102"/>
      <c r="G66" s="13"/>
      <c r="H66" s="2"/>
      <c r="I66" s="2"/>
      <c r="J66" s="2"/>
      <c r="K66" s="82">
        <v>0.16128519402446861</v>
      </c>
      <c r="L66" s="11" t="s">
        <v>94</v>
      </c>
      <c r="M66" s="11" t="s">
        <v>95</v>
      </c>
    </row>
    <row r="67" spans="1:13">
      <c r="A67" s="130" t="s">
        <v>96</v>
      </c>
      <c r="B67" s="127" t="s">
        <v>93</v>
      </c>
      <c r="C67" s="69"/>
      <c r="D67" s="139" t="str">
        <f t="shared" si="6"/>
        <v/>
      </c>
      <c r="E67" s="161" t="str">
        <f t="shared" si="7"/>
        <v/>
      </c>
      <c r="F67" s="102"/>
      <c r="G67" s="13"/>
      <c r="H67" s="2"/>
      <c r="I67" s="2"/>
      <c r="J67" s="2"/>
      <c r="K67" s="82">
        <v>0.14853506635344171</v>
      </c>
      <c r="L67" s="11" t="s">
        <v>94</v>
      </c>
      <c r="M67" s="11" t="s">
        <v>95</v>
      </c>
    </row>
    <row r="68" spans="1:13">
      <c r="A68" s="130" t="s">
        <v>97</v>
      </c>
      <c r="B68" s="127" t="s">
        <v>93</v>
      </c>
      <c r="C68" s="69"/>
      <c r="D68" s="139" t="str">
        <f t="shared" si="6"/>
        <v/>
      </c>
      <c r="E68" s="161" t="str">
        <f t="shared" si="7"/>
        <v/>
      </c>
      <c r="F68" s="102"/>
      <c r="G68" s="13"/>
      <c r="H68" s="2"/>
      <c r="I68" s="2"/>
      <c r="J68" s="2"/>
      <c r="K68" s="82">
        <v>0.19518650751368674</v>
      </c>
      <c r="L68" s="11" t="s">
        <v>94</v>
      </c>
      <c r="M68" s="11" t="s">
        <v>95</v>
      </c>
    </row>
    <row r="69" spans="1:13">
      <c r="A69" s="130" t="s">
        <v>98</v>
      </c>
      <c r="B69" s="127" t="s">
        <v>93</v>
      </c>
      <c r="C69" s="69"/>
      <c r="D69" s="139" t="str">
        <f t="shared" si="6"/>
        <v/>
      </c>
      <c r="E69" s="161" t="str">
        <f t="shared" si="7"/>
        <v/>
      </c>
      <c r="F69" s="102"/>
      <c r="G69" s="13"/>
      <c r="H69" s="2"/>
      <c r="I69" s="2"/>
      <c r="J69" s="2"/>
      <c r="K69" s="82">
        <v>0.34316126921456724</v>
      </c>
      <c r="L69" s="11" t="s">
        <v>94</v>
      </c>
      <c r="M69" s="11" t="s">
        <v>95</v>
      </c>
    </row>
    <row r="70" spans="1:13">
      <c r="A70" s="232" t="s">
        <v>99</v>
      </c>
      <c r="B70" s="118" t="s">
        <v>93</v>
      </c>
      <c r="C70" s="69"/>
      <c r="D70" s="139" t="str">
        <f t="shared" si="6"/>
        <v/>
      </c>
      <c r="E70" s="161" t="str">
        <f t="shared" si="7"/>
        <v/>
      </c>
      <c r="F70" s="102"/>
      <c r="G70" s="13"/>
      <c r="H70" s="2"/>
      <c r="I70" s="2"/>
      <c r="J70" s="2"/>
      <c r="K70" s="82">
        <v>0.1366597289446945</v>
      </c>
      <c r="L70" s="11" t="s">
        <v>94</v>
      </c>
      <c r="M70" s="11" t="s">
        <v>95</v>
      </c>
    </row>
    <row r="71" spans="1:13">
      <c r="A71" s="130" t="s">
        <v>96</v>
      </c>
      <c r="B71" s="127" t="s">
        <v>93</v>
      </c>
      <c r="C71" s="69"/>
      <c r="D71" s="139" t="str">
        <f t="shared" si="6"/>
        <v/>
      </c>
      <c r="E71" s="161" t="str">
        <f t="shared" si="7"/>
        <v/>
      </c>
      <c r="F71" s="102"/>
      <c r="G71" s="13"/>
      <c r="H71" s="2"/>
      <c r="I71" s="2"/>
      <c r="J71" s="2"/>
      <c r="K71" s="82">
        <v>0.13357750023099899</v>
      </c>
      <c r="L71" s="11" t="s">
        <v>94</v>
      </c>
      <c r="M71" s="11" t="s">
        <v>95</v>
      </c>
    </row>
    <row r="72" spans="1:13">
      <c r="A72" s="130" t="s">
        <v>97</v>
      </c>
      <c r="B72" s="127" t="s">
        <v>93</v>
      </c>
      <c r="C72" s="69"/>
      <c r="D72" s="139" t="str">
        <f t="shared" si="6"/>
        <v/>
      </c>
      <c r="E72" s="161" t="str">
        <f t="shared" si="7"/>
        <v/>
      </c>
      <c r="F72" s="102"/>
      <c r="G72" s="13"/>
      <c r="H72" s="2"/>
      <c r="I72" s="2"/>
      <c r="J72" s="2"/>
      <c r="K72" s="82">
        <v>0.13781725010789272</v>
      </c>
      <c r="L72" s="11" t="s">
        <v>94</v>
      </c>
      <c r="M72" s="11" t="s">
        <v>95</v>
      </c>
    </row>
    <row r="73" spans="1:13">
      <c r="A73" s="130" t="s">
        <v>98</v>
      </c>
      <c r="B73" s="127" t="s">
        <v>93</v>
      </c>
      <c r="C73" s="69"/>
      <c r="D73" s="139" t="str">
        <f t="shared" si="6"/>
        <v/>
      </c>
      <c r="E73" s="161" t="str">
        <f t="shared" si="7"/>
        <v/>
      </c>
      <c r="F73" s="102"/>
      <c r="G73" s="13"/>
      <c r="H73" s="2"/>
      <c r="I73" s="2"/>
      <c r="J73" s="2"/>
      <c r="K73" s="82">
        <v>0.14553402784335914</v>
      </c>
      <c r="L73" s="11" t="s">
        <v>94</v>
      </c>
      <c r="M73" s="11" t="s">
        <v>95</v>
      </c>
    </row>
    <row r="74" spans="1:13">
      <c r="A74" s="232" t="s">
        <v>100</v>
      </c>
      <c r="B74" s="118" t="s">
        <v>93</v>
      </c>
      <c r="C74" s="69"/>
      <c r="D74" s="139" t="str">
        <f t="shared" si="6"/>
        <v/>
      </c>
      <c r="E74" s="161" t="str">
        <f t="shared" si="7"/>
        <v/>
      </c>
      <c r="F74" s="102"/>
      <c r="G74" s="13"/>
      <c r="H74" s="2"/>
      <c r="I74" s="2"/>
      <c r="J74" s="2"/>
      <c r="K74" s="82">
        <v>0.12781642001717203</v>
      </c>
      <c r="L74" s="11" t="s">
        <v>94</v>
      </c>
      <c r="M74" s="11" t="s">
        <v>95</v>
      </c>
    </row>
    <row r="75" spans="1:13">
      <c r="A75" s="130" t="s">
        <v>96</v>
      </c>
      <c r="B75" s="127" t="s">
        <v>93</v>
      </c>
      <c r="C75" s="69"/>
      <c r="D75" s="139" t="str">
        <f t="shared" si="6"/>
        <v/>
      </c>
      <c r="E75" s="161" t="str">
        <f t="shared" si="7"/>
        <v/>
      </c>
      <c r="F75" s="102"/>
      <c r="G75" s="13"/>
      <c r="H75" s="2"/>
      <c r="I75" s="2"/>
      <c r="J75" s="2"/>
      <c r="K75" s="82">
        <v>0.11836078708748123</v>
      </c>
      <c r="L75" s="11" t="s">
        <v>94</v>
      </c>
      <c r="M75" s="11" t="s">
        <v>95</v>
      </c>
    </row>
    <row r="76" spans="1:13">
      <c r="A76" s="130" t="s">
        <v>97</v>
      </c>
      <c r="B76" s="127" t="s">
        <v>93</v>
      </c>
      <c r="C76" s="69"/>
      <c r="D76" s="139" t="str">
        <f t="shared" si="6"/>
        <v/>
      </c>
      <c r="E76" s="161" t="str">
        <f t="shared" si="7"/>
        <v/>
      </c>
      <c r="F76" s="102"/>
      <c r="G76" s="13"/>
      <c r="H76" s="2"/>
      <c r="I76" s="2"/>
      <c r="J76" s="2"/>
      <c r="K76" s="82">
        <v>0.13209617562163056</v>
      </c>
      <c r="L76" s="11" t="s">
        <v>94</v>
      </c>
      <c r="M76" s="11" t="s">
        <v>95</v>
      </c>
    </row>
    <row r="77" spans="1:13">
      <c r="A77" s="130" t="s">
        <v>98</v>
      </c>
      <c r="B77" s="127" t="s">
        <v>93</v>
      </c>
      <c r="C77" s="69"/>
      <c r="D77" s="139" t="str">
        <f t="shared" si="6"/>
        <v/>
      </c>
      <c r="E77" s="161" t="str">
        <f t="shared" si="7"/>
        <v/>
      </c>
      <c r="F77" s="102"/>
      <c r="G77" s="13"/>
      <c r="H77" s="2"/>
      <c r="I77" s="2"/>
      <c r="J77" s="2"/>
      <c r="K77" s="82">
        <v>0.15835255149821104</v>
      </c>
      <c r="L77" s="11" t="s">
        <v>94</v>
      </c>
      <c r="M77" s="11" t="s">
        <v>95</v>
      </c>
    </row>
    <row r="78" spans="1:13">
      <c r="A78" s="232" t="s">
        <v>101</v>
      </c>
      <c r="B78" s="118" t="s">
        <v>93</v>
      </c>
      <c r="C78" s="69"/>
      <c r="D78" s="139" t="str">
        <f t="shared" si="6"/>
        <v/>
      </c>
      <c r="E78" s="161" t="str">
        <f t="shared" si="7"/>
        <v/>
      </c>
      <c r="F78" s="102"/>
      <c r="G78" s="13"/>
      <c r="H78" s="2"/>
      <c r="I78" s="2"/>
      <c r="J78" s="2"/>
      <c r="K78" s="82">
        <v>0.16685333139111685</v>
      </c>
      <c r="L78" s="11" t="s">
        <v>94</v>
      </c>
      <c r="M78" s="11" t="s">
        <v>95</v>
      </c>
    </row>
    <row r="79" spans="1:13">
      <c r="A79" s="130" t="s">
        <v>96</v>
      </c>
      <c r="B79" s="127" t="s">
        <v>93</v>
      </c>
      <c r="C79" s="69"/>
      <c r="D79" s="139" t="str">
        <f t="shared" si="6"/>
        <v/>
      </c>
      <c r="E79" s="161" t="str">
        <f t="shared" si="7"/>
        <v/>
      </c>
      <c r="F79" s="102"/>
      <c r="G79" s="13"/>
      <c r="H79" s="2"/>
      <c r="I79" s="2"/>
      <c r="J79" s="2"/>
      <c r="K79" s="82">
        <v>0.17793597287537069</v>
      </c>
      <c r="L79" s="11" t="s">
        <v>94</v>
      </c>
      <c r="M79" s="11" t="s">
        <v>95</v>
      </c>
    </row>
    <row r="80" spans="1:13">
      <c r="A80" s="130" t="s">
        <v>97</v>
      </c>
      <c r="B80" s="127" t="s">
        <v>93</v>
      </c>
      <c r="C80" s="69"/>
      <c r="D80" s="139" t="str">
        <f t="shared" si="6"/>
        <v/>
      </c>
      <c r="E80" s="161" t="str">
        <f t="shared" si="7"/>
        <v/>
      </c>
      <c r="F80" s="102"/>
      <c r="G80" s="13"/>
      <c r="H80" s="2"/>
      <c r="I80" s="2"/>
      <c r="J80" s="2"/>
      <c r="K80" s="82">
        <v>0.15517044329757887</v>
      </c>
      <c r="L80" s="11" t="s">
        <v>94</v>
      </c>
      <c r="M80" s="11" t="s">
        <v>95</v>
      </c>
    </row>
    <row r="81" spans="1:13">
      <c r="A81" s="130" t="s">
        <v>98</v>
      </c>
      <c r="B81" s="127" t="s">
        <v>93</v>
      </c>
      <c r="C81" s="69"/>
      <c r="D81" s="139" t="str">
        <f t="shared" si="6"/>
        <v/>
      </c>
      <c r="E81" s="161" t="str">
        <f t="shared" si="7"/>
        <v/>
      </c>
      <c r="F81" s="102"/>
      <c r="G81" s="13"/>
      <c r="H81" s="2"/>
      <c r="I81" s="2"/>
      <c r="J81" s="2"/>
      <c r="K81" s="82">
        <v>0.23002294366682896</v>
      </c>
      <c r="L81" s="11" t="s">
        <v>94</v>
      </c>
      <c r="M81" s="11" t="s">
        <v>95</v>
      </c>
    </row>
    <row r="82" spans="1:13">
      <c r="A82" s="232" t="s">
        <v>102</v>
      </c>
      <c r="B82" s="118" t="s">
        <v>93</v>
      </c>
      <c r="C82" s="69"/>
      <c r="D82" s="139" t="str">
        <f t="shared" si="6"/>
        <v/>
      </c>
      <c r="E82" s="161" t="str">
        <f t="shared" si="7"/>
        <v/>
      </c>
      <c r="F82" s="102"/>
      <c r="G82" s="13"/>
      <c r="H82" s="2"/>
      <c r="I82" s="2"/>
      <c r="J82" s="2"/>
      <c r="K82" s="82">
        <v>0.14082152354012839</v>
      </c>
      <c r="L82" s="11" t="s">
        <v>94</v>
      </c>
      <c r="M82" s="11" t="s">
        <v>95</v>
      </c>
    </row>
    <row r="83" spans="1:13">
      <c r="A83" s="130" t="s">
        <v>98</v>
      </c>
      <c r="B83" s="127" t="s">
        <v>93</v>
      </c>
      <c r="C83" s="69"/>
      <c r="D83" s="139" t="str">
        <f t="shared" si="6"/>
        <v/>
      </c>
      <c r="E83" s="161" t="str">
        <f t="shared" si="7"/>
        <v/>
      </c>
      <c r="F83" s="102"/>
      <c r="G83" s="13"/>
      <c r="H83" s="2"/>
      <c r="I83" s="2"/>
      <c r="J83" s="2"/>
      <c r="K83" s="82">
        <v>0.13761327500000001</v>
      </c>
      <c r="L83" s="11" t="s">
        <v>94</v>
      </c>
      <c r="M83" s="11" t="s">
        <v>95</v>
      </c>
    </row>
    <row r="84" spans="1:13">
      <c r="A84" s="232" t="s">
        <v>103</v>
      </c>
      <c r="B84" s="118" t="s">
        <v>93</v>
      </c>
      <c r="C84" s="69"/>
      <c r="D84" s="139" t="str">
        <f t="shared" si="6"/>
        <v/>
      </c>
      <c r="E84" s="161" t="str">
        <f t="shared" si="7"/>
        <v/>
      </c>
      <c r="F84" s="102"/>
      <c r="G84" s="13"/>
      <c r="H84" s="2"/>
      <c r="I84" s="2"/>
      <c r="J84" s="2"/>
      <c r="K84" s="82">
        <v>0.15625288123887746</v>
      </c>
      <c r="L84" s="11" t="s">
        <v>94</v>
      </c>
      <c r="M84" s="11" t="s">
        <v>95</v>
      </c>
    </row>
    <row r="85" spans="1:13">
      <c r="A85" s="130" t="s">
        <v>96</v>
      </c>
      <c r="B85" s="127" t="s">
        <v>93</v>
      </c>
      <c r="C85" s="69"/>
      <c r="D85" s="139" t="str">
        <f t="shared" si="6"/>
        <v/>
      </c>
      <c r="E85" s="161" t="str">
        <f t="shared" si="7"/>
        <v/>
      </c>
      <c r="F85" s="102"/>
      <c r="G85" s="13"/>
      <c r="H85" s="2"/>
      <c r="I85" s="2"/>
      <c r="J85" s="2"/>
      <c r="K85" s="82">
        <v>0.17044207778252124</v>
      </c>
      <c r="L85" s="11" t="s">
        <v>94</v>
      </c>
      <c r="M85" s="11" t="s">
        <v>95</v>
      </c>
    </row>
    <row r="86" spans="1:13">
      <c r="A86" s="130" t="s">
        <v>97</v>
      </c>
      <c r="B86" s="127" t="s">
        <v>93</v>
      </c>
      <c r="C86" s="69"/>
      <c r="D86" s="139" t="str">
        <f t="shared" si="6"/>
        <v/>
      </c>
      <c r="E86" s="161" t="str">
        <f t="shared" si="7"/>
        <v/>
      </c>
      <c r="F86" s="102"/>
      <c r="G86" s="13"/>
      <c r="H86" s="2"/>
      <c r="I86" s="2"/>
      <c r="J86" s="2"/>
      <c r="K86" s="82">
        <v>0.17044207778252127</v>
      </c>
      <c r="L86" s="11" t="s">
        <v>94</v>
      </c>
      <c r="M86" s="11" t="s">
        <v>95</v>
      </c>
    </row>
    <row r="87" spans="1:13">
      <c r="A87" s="130" t="s">
        <v>98</v>
      </c>
      <c r="B87" s="127" t="s">
        <v>93</v>
      </c>
      <c r="C87" s="69"/>
      <c r="D87" s="139" t="str">
        <f t="shared" si="6"/>
        <v/>
      </c>
      <c r="E87" s="161" t="str">
        <f t="shared" si="7"/>
        <v/>
      </c>
      <c r="F87" s="102"/>
      <c r="G87" s="13"/>
      <c r="H87" s="2"/>
      <c r="I87" s="2"/>
      <c r="J87" s="2"/>
      <c r="K87" s="82">
        <v>0.18311802477578931</v>
      </c>
      <c r="L87" s="11" t="s">
        <v>94</v>
      </c>
      <c r="M87" s="11" t="s">
        <v>95</v>
      </c>
    </row>
    <row r="88" spans="1:13">
      <c r="A88" s="232" t="s">
        <v>104</v>
      </c>
      <c r="B88" s="118" t="s">
        <v>93</v>
      </c>
      <c r="C88" s="69"/>
      <c r="D88" s="139" t="str">
        <f t="shared" si="6"/>
        <v/>
      </c>
      <c r="E88" s="161" t="str">
        <f t="shared" si="7"/>
        <v/>
      </c>
      <c r="F88" s="102"/>
      <c r="G88" s="13"/>
      <c r="H88" s="2"/>
      <c r="I88" s="2"/>
      <c r="J88" s="2"/>
      <c r="K88" s="82">
        <v>0.1263068794154755</v>
      </c>
      <c r="L88" s="11" t="s">
        <v>94</v>
      </c>
      <c r="M88" s="11" t="s">
        <v>95</v>
      </c>
    </row>
    <row r="89" spans="1:13">
      <c r="A89" s="130" t="s">
        <v>96</v>
      </c>
      <c r="B89" s="127" t="s">
        <v>93</v>
      </c>
      <c r="C89" s="69"/>
      <c r="D89" s="139" t="str">
        <f t="shared" si="6"/>
        <v/>
      </c>
      <c r="E89" s="161" t="str">
        <f t="shared" si="7"/>
        <v/>
      </c>
      <c r="F89" s="102"/>
      <c r="G89" s="13"/>
      <c r="H89" s="2"/>
      <c r="I89" s="2"/>
      <c r="J89" s="2"/>
      <c r="K89" s="82">
        <v>0.12335205668476334</v>
      </c>
      <c r="L89" s="11" t="s">
        <v>94</v>
      </c>
      <c r="M89" s="11" t="s">
        <v>95</v>
      </c>
    </row>
    <row r="90" spans="1:13">
      <c r="A90" s="130" t="s">
        <v>97</v>
      </c>
      <c r="B90" s="127" t="s">
        <v>93</v>
      </c>
      <c r="C90" s="69"/>
      <c r="D90" s="139" t="str">
        <f t="shared" si="6"/>
        <v/>
      </c>
      <c r="E90" s="161" t="str">
        <f t="shared" si="7"/>
        <v/>
      </c>
      <c r="F90" s="102"/>
      <c r="G90" s="13"/>
      <c r="H90" s="2"/>
      <c r="I90" s="2"/>
      <c r="J90" s="2"/>
      <c r="K90" s="82">
        <v>0.12335205668476333</v>
      </c>
      <c r="L90" s="11" t="s">
        <v>94</v>
      </c>
      <c r="M90" s="11" t="s">
        <v>95</v>
      </c>
    </row>
    <row r="91" spans="1:13">
      <c r="A91" s="130" t="s">
        <v>98</v>
      </c>
      <c r="B91" s="127" t="s">
        <v>93</v>
      </c>
      <c r="C91" s="69"/>
      <c r="D91" s="139" t="str">
        <f t="shared" si="6"/>
        <v/>
      </c>
      <c r="E91" s="161" t="str">
        <f t="shared" si="7"/>
        <v/>
      </c>
      <c r="F91" s="102"/>
      <c r="G91" s="13"/>
      <c r="H91" s="2"/>
      <c r="I91" s="2"/>
      <c r="J91" s="2"/>
      <c r="K91" s="82">
        <v>0.12335205668476333</v>
      </c>
      <c r="L91" s="11" t="s">
        <v>94</v>
      </c>
      <c r="M91" s="11" t="s">
        <v>95</v>
      </c>
    </row>
    <row r="92" spans="1:13">
      <c r="A92" s="232" t="s">
        <v>105</v>
      </c>
      <c r="B92" s="118" t="s">
        <v>93</v>
      </c>
      <c r="C92" s="69"/>
      <c r="D92" s="139" t="str">
        <f t="shared" si="6"/>
        <v/>
      </c>
      <c r="E92" s="161" t="str">
        <f t="shared" si="7"/>
        <v/>
      </c>
      <c r="F92" s="102"/>
      <c r="G92" s="13"/>
      <c r="H92" s="2"/>
      <c r="I92" s="2"/>
      <c r="J92" s="2"/>
      <c r="K92" s="82">
        <v>6.0732000000000001E-2</v>
      </c>
      <c r="L92" s="11" t="s">
        <v>94</v>
      </c>
      <c r="M92" s="11" t="s">
        <v>106</v>
      </c>
    </row>
    <row r="93" spans="1:13">
      <c r="A93" s="130" t="s">
        <v>96</v>
      </c>
      <c r="B93" s="127" t="s">
        <v>93</v>
      </c>
      <c r="C93" s="69"/>
      <c r="D93" s="139" t="str">
        <f t="shared" si="6"/>
        <v/>
      </c>
      <c r="E93" s="161" t="str">
        <f t="shared" si="7"/>
        <v/>
      </c>
      <c r="F93" s="102"/>
      <c r="G93" s="13"/>
      <c r="H93" s="2"/>
      <c r="I93" s="2"/>
      <c r="J93" s="2"/>
      <c r="K93" s="82">
        <f>0.14*0.2892</f>
        <v>4.0488000000000003E-2</v>
      </c>
      <c r="L93" s="11" t="s">
        <v>94</v>
      </c>
      <c r="M93" s="11" t="s">
        <v>107</v>
      </c>
    </row>
    <row r="94" spans="1:13">
      <c r="A94" s="130" t="s">
        <v>97</v>
      </c>
      <c r="B94" s="127" t="s">
        <v>93</v>
      </c>
      <c r="C94" s="69"/>
      <c r="D94" s="139" t="str">
        <f t="shared" si="6"/>
        <v/>
      </c>
      <c r="E94" s="161" t="str">
        <f t="shared" si="7"/>
        <v/>
      </c>
      <c r="F94" s="102"/>
      <c r="G94" s="13"/>
      <c r="H94" s="2"/>
      <c r="I94" s="2"/>
      <c r="J94" s="2"/>
      <c r="K94" s="82">
        <f>0.19*0.2892</f>
        <v>5.4948000000000004E-2</v>
      </c>
      <c r="L94" s="11" t="s">
        <v>94</v>
      </c>
      <c r="M94" s="11" t="s">
        <v>108</v>
      </c>
    </row>
    <row r="95" spans="1:13">
      <c r="A95" s="130" t="s">
        <v>98</v>
      </c>
      <c r="B95" s="127" t="s">
        <v>93</v>
      </c>
      <c r="C95" s="69"/>
      <c r="D95" s="139" t="str">
        <f t="shared" si="6"/>
        <v/>
      </c>
      <c r="E95" s="161" t="str">
        <f t="shared" si="7"/>
        <v/>
      </c>
      <c r="F95" s="102"/>
      <c r="G95" s="13"/>
      <c r="H95" s="2"/>
      <c r="I95" s="2"/>
      <c r="J95" s="2"/>
      <c r="K95" s="82">
        <f>0.24*0.2892</f>
        <v>6.9407999999999997E-2</v>
      </c>
      <c r="L95" s="11" t="s">
        <v>94</v>
      </c>
      <c r="M95" s="11" t="s">
        <v>109</v>
      </c>
    </row>
    <row r="96" spans="1:13">
      <c r="A96" s="232" t="s">
        <v>110</v>
      </c>
      <c r="B96" s="118" t="s">
        <v>93</v>
      </c>
      <c r="C96" s="69"/>
      <c r="D96" s="139" t="str">
        <f t="shared" si="6"/>
        <v/>
      </c>
      <c r="E96" s="161" t="str">
        <f t="shared" si="7"/>
        <v/>
      </c>
      <c r="F96" s="102"/>
      <c r="G96" s="13"/>
      <c r="H96" s="2"/>
      <c r="I96" s="2"/>
      <c r="J96" s="2"/>
      <c r="K96" s="82">
        <v>0.24689250379216049</v>
      </c>
      <c r="L96" s="11" t="s">
        <v>94</v>
      </c>
      <c r="M96" s="11" t="s">
        <v>95</v>
      </c>
    </row>
    <row r="97" spans="1:13">
      <c r="A97" s="133" t="s">
        <v>111</v>
      </c>
      <c r="B97" s="118" t="s">
        <v>93</v>
      </c>
      <c r="C97" s="69"/>
      <c r="D97" s="139" t="str">
        <f t="shared" si="6"/>
        <v/>
      </c>
      <c r="E97" s="161" t="str">
        <f t="shared" si="7"/>
        <v/>
      </c>
      <c r="F97" s="102"/>
      <c r="G97" s="13"/>
      <c r="H97" s="2"/>
      <c r="I97" s="262"/>
      <c r="J97" s="7"/>
      <c r="K97" s="82">
        <v>0.2432207431090368</v>
      </c>
      <c r="L97" s="11" t="s">
        <v>94</v>
      </c>
      <c r="M97" s="11" t="s">
        <v>95</v>
      </c>
    </row>
    <row r="98" spans="1:13">
      <c r="A98" s="133" t="s">
        <v>112</v>
      </c>
      <c r="B98" s="118" t="s">
        <v>93</v>
      </c>
      <c r="C98" s="69"/>
      <c r="D98" s="139" t="str">
        <f t="shared" si="6"/>
        <v/>
      </c>
      <c r="E98" s="161" t="str">
        <f t="shared" si="7"/>
        <v/>
      </c>
      <c r="F98" s="102"/>
      <c r="G98" s="13"/>
      <c r="H98" s="2"/>
      <c r="I98" s="262"/>
      <c r="J98" s="7"/>
      <c r="K98" s="82">
        <v>0.32611790765373599</v>
      </c>
      <c r="L98" s="11" t="s">
        <v>94</v>
      </c>
      <c r="M98" s="11" t="s">
        <v>95</v>
      </c>
    </row>
    <row r="99" spans="1:13">
      <c r="A99" s="133" t="s">
        <v>113</v>
      </c>
      <c r="B99" s="118" t="s">
        <v>93</v>
      </c>
      <c r="C99" s="69"/>
      <c r="D99" s="139" t="str">
        <f t="shared" si="6"/>
        <v/>
      </c>
      <c r="E99" s="161" t="str">
        <f t="shared" si="7"/>
        <v/>
      </c>
      <c r="F99" s="102"/>
      <c r="G99" s="13"/>
      <c r="H99" s="2"/>
      <c r="I99" s="262"/>
      <c r="J99" s="7"/>
      <c r="K99" s="82">
        <v>0.66840161917946761</v>
      </c>
      <c r="L99" s="11" t="s">
        <v>94</v>
      </c>
      <c r="M99" s="11" t="s">
        <v>95</v>
      </c>
    </row>
    <row r="100" spans="1:13">
      <c r="A100" s="133" t="s">
        <v>114</v>
      </c>
      <c r="B100" s="118" t="s">
        <v>93</v>
      </c>
      <c r="C100" s="69"/>
      <c r="D100" s="139" t="str">
        <f t="shared" si="6"/>
        <v/>
      </c>
      <c r="E100" s="161" t="str">
        <f t="shared" si="7"/>
        <v/>
      </c>
      <c r="F100" s="102"/>
      <c r="G100" s="13"/>
      <c r="H100" s="2"/>
      <c r="I100" s="7"/>
      <c r="J100" s="7"/>
      <c r="K100" s="82">
        <v>0.70280722585073518</v>
      </c>
      <c r="L100" s="11" t="s">
        <v>94</v>
      </c>
      <c r="M100" s="11" t="s">
        <v>95</v>
      </c>
    </row>
    <row r="101" spans="1:13">
      <c r="A101" s="133" t="s">
        <v>115</v>
      </c>
      <c r="B101" s="118" t="s">
        <v>93</v>
      </c>
      <c r="C101" s="69"/>
      <c r="D101" s="139" t="str">
        <f t="shared" si="6"/>
        <v/>
      </c>
      <c r="E101" s="161" t="str">
        <f t="shared" si="7"/>
        <v/>
      </c>
      <c r="F101" s="102"/>
      <c r="G101" s="13"/>
      <c r="H101" s="2"/>
      <c r="I101" s="7"/>
      <c r="J101" s="7"/>
      <c r="K101" s="82">
        <v>0.68108354164497065</v>
      </c>
      <c r="L101" s="11" t="s">
        <v>94</v>
      </c>
      <c r="M101" s="11" t="s">
        <v>95</v>
      </c>
    </row>
    <row r="102" spans="1:13">
      <c r="A102" s="133" t="s">
        <v>116</v>
      </c>
      <c r="B102" s="118" t="s">
        <v>93</v>
      </c>
      <c r="C102" s="69"/>
      <c r="D102" s="139" t="str">
        <f t="shared" si="6"/>
        <v/>
      </c>
      <c r="E102" s="161" t="str">
        <f t="shared" si="7"/>
        <v/>
      </c>
      <c r="F102" s="102"/>
      <c r="G102" s="13"/>
      <c r="H102" s="2"/>
      <c r="I102" s="7"/>
      <c r="J102" s="7"/>
      <c r="K102" s="82">
        <v>1.0968327159905724</v>
      </c>
      <c r="L102" s="11" t="s">
        <v>94</v>
      </c>
      <c r="M102" s="11" t="s">
        <v>95</v>
      </c>
    </row>
    <row r="103" spans="1:13">
      <c r="A103" s="133" t="s">
        <v>117</v>
      </c>
      <c r="B103" s="118" t="s">
        <v>93</v>
      </c>
      <c r="C103" s="69"/>
      <c r="D103" s="139" t="str">
        <f t="shared" si="6"/>
        <v/>
      </c>
      <c r="E103" s="161" t="str">
        <f t="shared" si="7"/>
        <v/>
      </c>
      <c r="F103" s="102"/>
      <c r="G103" s="13"/>
      <c r="H103" s="2"/>
      <c r="I103" s="7"/>
      <c r="J103" s="7"/>
      <c r="K103" s="82">
        <v>5.4879940781715111E-2</v>
      </c>
      <c r="L103" s="11" t="s">
        <v>94</v>
      </c>
      <c r="M103" s="11" t="s">
        <v>95</v>
      </c>
    </row>
    <row r="104" spans="1:13">
      <c r="A104" s="133" t="s">
        <v>118</v>
      </c>
      <c r="B104" s="118" t="s">
        <v>93</v>
      </c>
      <c r="C104" s="69"/>
      <c r="D104" s="139" t="str">
        <f t="shared" si="6"/>
        <v/>
      </c>
      <c r="E104" s="161" t="str">
        <f t="shared" si="7"/>
        <v/>
      </c>
      <c r="F104" s="102"/>
      <c r="G104" s="13"/>
      <c r="H104" s="2"/>
      <c r="I104" s="7"/>
      <c r="J104" s="7"/>
      <c r="K104" s="82">
        <v>0.10707946329412216</v>
      </c>
      <c r="L104" s="11" t="s">
        <v>94</v>
      </c>
      <c r="M104" s="11" t="s">
        <v>95</v>
      </c>
    </row>
    <row r="105" spans="1:13">
      <c r="A105" s="110" t="s">
        <v>50</v>
      </c>
      <c r="B105" s="131"/>
      <c r="C105" s="132"/>
      <c r="D105" s="129"/>
      <c r="E105" s="158"/>
      <c r="F105" s="102"/>
      <c r="G105" s="13"/>
      <c r="H105" s="2"/>
      <c r="I105" s="2"/>
      <c r="J105" s="2"/>
      <c r="K105" s="12"/>
      <c r="L105" s="12"/>
      <c r="M105" s="12"/>
    </row>
    <row r="106" spans="1:13">
      <c r="A106" s="57"/>
      <c r="B106" s="118" t="s">
        <v>93</v>
      </c>
      <c r="C106" s="70"/>
      <c r="D106" s="83"/>
      <c r="E106" s="161" t="str">
        <f>IF(C106&gt;0,C106*D106,"")</f>
        <v/>
      </c>
      <c r="F106" s="102"/>
      <c r="G106" s="13"/>
      <c r="H106" s="2"/>
      <c r="I106" s="2"/>
      <c r="J106" s="2"/>
      <c r="K106" s="12"/>
      <c r="L106" s="12"/>
      <c r="M106" s="12"/>
    </row>
    <row r="107" spans="1:13">
      <c r="A107" s="136"/>
      <c r="B107" s="137"/>
      <c r="C107" s="138"/>
      <c r="D107" s="138"/>
      <c r="E107" s="138"/>
      <c r="F107" s="135"/>
      <c r="G107" s="13"/>
      <c r="H107" s="2"/>
      <c r="I107" s="2"/>
      <c r="J107" s="2"/>
      <c r="K107" s="12"/>
      <c r="L107" s="12"/>
      <c r="M107" s="12"/>
    </row>
    <row r="108" spans="1:13">
      <c r="A108" s="13"/>
      <c r="B108" s="14"/>
      <c r="C108" s="13"/>
      <c r="D108" s="13"/>
      <c r="E108" s="13"/>
      <c r="F108" s="13"/>
      <c r="G108" s="13"/>
      <c r="H108" s="2"/>
      <c r="I108" s="2"/>
      <c r="J108" s="2"/>
      <c r="K108" s="12"/>
      <c r="L108" s="12"/>
      <c r="M108" s="12"/>
    </row>
    <row r="109" spans="1:13">
      <c r="A109" s="13"/>
      <c r="B109" s="14"/>
      <c r="C109" s="13"/>
      <c r="D109" s="13"/>
      <c r="E109" s="13"/>
      <c r="F109" s="13"/>
      <c r="G109" s="13"/>
      <c r="H109" s="2"/>
      <c r="I109" s="2"/>
      <c r="J109" s="2"/>
      <c r="K109" s="12"/>
      <c r="L109" s="12"/>
      <c r="M109" s="12"/>
    </row>
    <row r="110" spans="1:13" ht="21">
      <c r="A110" s="95" t="s">
        <v>8</v>
      </c>
      <c r="B110" s="96"/>
      <c r="C110" s="97"/>
      <c r="D110" s="97"/>
      <c r="E110" s="97"/>
      <c r="F110" s="98"/>
      <c r="G110" s="13"/>
      <c r="H110" s="2"/>
      <c r="I110" s="2"/>
      <c r="J110" s="2"/>
      <c r="K110" s="12"/>
      <c r="L110" s="12"/>
      <c r="M110" s="12"/>
    </row>
    <row r="111" spans="1:13" ht="21">
      <c r="A111" s="141"/>
      <c r="B111" s="100"/>
      <c r="C111" s="101"/>
      <c r="D111" s="101"/>
      <c r="E111" s="101"/>
      <c r="F111" s="102"/>
      <c r="G111" s="13"/>
      <c r="H111" s="2"/>
      <c r="I111" s="2"/>
      <c r="J111" s="2"/>
      <c r="K111" s="12"/>
      <c r="L111" s="12"/>
      <c r="M111" s="12"/>
    </row>
    <row r="112" spans="1:13">
      <c r="A112" s="99"/>
      <c r="B112" s="101"/>
      <c r="C112" s="101"/>
      <c r="D112" s="101"/>
      <c r="E112" s="101"/>
      <c r="F112" s="102"/>
      <c r="G112" s="13"/>
      <c r="H112" s="2"/>
      <c r="I112" s="2"/>
      <c r="J112" s="2"/>
      <c r="K112" s="12"/>
      <c r="L112" s="12"/>
      <c r="M112" s="12"/>
    </row>
    <row r="113" spans="1:13">
      <c r="A113" s="103" t="s">
        <v>119</v>
      </c>
      <c r="B113" s="104"/>
      <c r="C113" s="105"/>
      <c r="D113" s="105"/>
      <c r="E113" s="105"/>
      <c r="F113" s="102"/>
      <c r="G113" s="13"/>
      <c r="H113" s="2"/>
      <c r="I113" s="2"/>
      <c r="J113" s="2"/>
      <c r="K113" s="12"/>
      <c r="L113" s="12"/>
      <c r="M113" s="12"/>
    </row>
    <row r="114" spans="1:13" ht="45">
      <c r="A114" s="110"/>
      <c r="B114" s="108" t="s">
        <v>25</v>
      </c>
      <c r="C114" s="108" t="s">
        <v>26</v>
      </c>
      <c r="D114" s="109" t="s">
        <v>120</v>
      </c>
      <c r="E114" s="109" t="s">
        <v>28</v>
      </c>
      <c r="F114" s="102"/>
      <c r="G114" s="13"/>
      <c r="H114" s="2"/>
      <c r="I114" s="2"/>
      <c r="J114" s="2"/>
      <c r="K114" s="123" t="s">
        <v>31</v>
      </c>
      <c r="L114" s="123" t="s">
        <v>32</v>
      </c>
      <c r="M114" s="123" t="s">
        <v>33</v>
      </c>
    </row>
    <row r="115" spans="1:13">
      <c r="A115" s="99" t="s">
        <v>121</v>
      </c>
      <c r="B115" s="142" t="s">
        <v>35</v>
      </c>
      <c r="C115" s="68"/>
      <c r="D115" s="139" t="str">
        <f>IF(C115&gt;0,K115,"")</f>
        <v/>
      </c>
      <c r="E115" s="161" t="str">
        <f>IF(B116="ja",0,(IF(C115="","",C115*K115)))</f>
        <v/>
      </c>
      <c r="F115" s="102"/>
      <c r="G115" s="13"/>
      <c r="H115" s="2"/>
      <c r="I115" s="2"/>
      <c r="J115" s="2"/>
      <c r="K115" s="82">
        <v>0.28920000000000001</v>
      </c>
      <c r="L115" s="11" t="s">
        <v>84</v>
      </c>
      <c r="M115" s="11" t="s">
        <v>85</v>
      </c>
    </row>
    <row r="116" spans="1:13" ht="30" customHeight="1">
      <c r="A116" s="145" t="s">
        <v>86</v>
      </c>
      <c r="B116" s="60" t="s">
        <v>87</v>
      </c>
      <c r="C116" s="105"/>
      <c r="D116" s="129"/>
      <c r="E116" s="158"/>
      <c r="F116" s="102"/>
      <c r="G116" s="13"/>
      <c r="H116" s="6" t="s">
        <v>122</v>
      </c>
      <c r="I116" s="7" t="s">
        <v>123</v>
      </c>
      <c r="J116" s="2"/>
      <c r="K116" s="12"/>
      <c r="L116" s="12"/>
      <c r="M116" s="12"/>
    </row>
    <row r="117" spans="1:13" ht="15" customHeight="1">
      <c r="A117" s="147" t="s">
        <v>88</v>
      </c>
      <c r="B117" s="148" t="s">
        <v>84</v>
      </c>
      <c r="C117" s="61"/>
      <c r="D117" s="129"/>
      <c r="E117" s="161" t="str">
        <f>IF(C117="","",C115*C117)</f>
        <v/>
      </c>
      <c r="F117" s="102"/>
      <c r="G117" s="13"/>
      <c r="H117" s="2"/>
      <c r="I117" s="262" t="s">
        <v>124</v>
      </c>
      <c r="J117" s="2"/>
      <c r="K117" s="12"/>
      <c r="L117" s="12"/>
      <c r="M117" s="12"/>
    </row>
    <row r="118" spans="1:13">
      <c r="A118" s="151"/>
      <c r="B118" s="121"/>
      <c r="C118" s="152"/>
      <c r="D118" s="129"/>
      <c r="E118" s="158"/>
      <c r="F118" s="102"/>
      <c r="G118" s="13"/>
      <c r="H118" s="2"/>
      <c r="I118" s="262"/>
      <c r="J118" s="2"/>
      <c r="K118" s="12"/>
      <c r="L118" s="12"/>
      <c r="M118" s="12"/>
    </row>
    <row r="119" spans="1:13">
      <c r="A119" s="144" t="s">
        <v>125</v>
      </c>
      <c r="B119" s="142" t="s">
        <v>35</v>
      </c>
      <c r="C119" s="68"/>
      <c r="D119" s="139" t="str">
        <f>IF(C119&gt;0,K119,"")</f>
        <v/>
      </c>
      <c r="E119" s="161" t="str">
        <f>IF(B120="ja",0,(IF(C119="","",C119*K119)))</f>
        <v/>
      </c>
      <c r="F119" s="102"/>
      <c r="G119" s="13"/>
      <c r="H119" s="2"/>
      <c r="I119" s="262"/>
      <c r="J119" s="7"/>
      <c r="K119" s="82">
        <v>0.28920000000000001</v>
      </c>
      <c r="L119" s="11" t="s">
        <v>84</v>
      </c>
      <c r="M119" s="11" t="s">
        <v>85</v>
      </c>
    </row>
    <row r="120" spans="1:13">
      <c r="A120" s="145" t="s">
        <v>126</v>
      </c>
      <c r="B120" s="60" t="s">
        <v>87</v>
      </c>
      <c r="C120" s="104"/>
      <c r="D120" s="104"/>
      <c r="E120" s="104"/>
      <c r="F120" s="102"/>
      <c r="G120" s="13"/>
      <c r="H120" s="2"/>
      <c r="I120" s="7"/>
      <c r="J120" s="7"/>
      <c r="K120" s="12"/>
      <c r="L120" s="12"/>
      <c r="M120" s="12"/>
    </row>
    <row r="121" spans="1:13">
      <c r="A121" s="146"/>
      <c r="B121" s="142"/>
      <c r="C121" s="101"/>
      <c r="D121" s="101"/>
      <c r="E121" s="101"/>
      <c r="F121" s="102"/>
      <c r="G121" s="13"/>
      <c r="H121" s="2"/>
      <c r="I121" s="262"/>
      <c r="J121" s="2"/>
      <c r="K121" s="12"/>
      <c r="L121" s="12"/>
      <c r="M121" s="12"/>
    </row>
    <row r="122" spans="1:13">
      <c r="A122" s="149" t="s">
        <v>127</v>
      </c>
      <c r="B122" s="121"/>
      <c r="C122" s="150"/>
      <c r="D122" s="150"/>
      <c r="E122" s="150"/>
      <c r="F122" s="102"/>
      <c r="G122" s="13"/>
      <c r="H122" s="2"/>
      <c r="I122" s="262"/>
      <c r="J122" s="2"/>
      <c r="K122" s="12"/>
      <c r="L122" s="12"/>
      <c r="M122" s="12"/>
    </row>
    <row r="123" spans="1:13" ht="45">
      <c r="A123" s="105"/>
      <c r="B123" s="108" t="s">
        <v>25</v>
      </c>
      <c r="C123" s="108" t="s">
        <v>26</v>
      </c>
      <c r="D123" s="109" t="s">
        <v>120</v>
      </c>
      <c r="E123" s="109" t="s">
        <v>28</v>
      </c>
      <c r="F123" s="102"/>
      <c r="G123" s="13"/>
      <c r="H123" s="2"/>
      <c r="I123" s="2"/>
      <c r="J123" s="2"/>
      <c r="K123" s="123" t="s">
        <v>31</v>
      </c>
      <c r="L123" s="123" t="s">
        <v>32</v>
      </c>
      <c r="M123" s="123" t="s">
        <v>33</v>
      </c>
    </row>
    <row r="124" spans="1:13" ht="15" customHeight="1">
      <c r="A124" s="62" t="s">
        <v>128</v>
      </c>
      <c r="B124" s="142" t="s">
        <v>35</v>
      </c>
      <c r="C124" s="73"/>
      <c r="D124" s="139" t="str">
        <f>IF(C124&gt;0,K124,"")</f>
        <v/>
      </c>
      <c r="E124" s="161" t="str">
        <f t="shared" ref="E124" si="8">IF(C124&gt;0,C124*K124,"")</f>
        <v/>
      </c>
      <c r="F124" s="102"/>
      <c r="G124" s="13"/>
      <c r="H124" s="2" t="s">
        <v>129</v>
      </c>
      <c r="I124" s="268" t="s">
        <v>130</v>
      </c>
      <c r="J124" s="2"/>
      <c r="K124" s="82">
        <f>VLOOKUP(A124,Fernheizwerke[],2)</f>
        <v>0.40643000000000001</v>
      </c>
      <c r="L124" s="11" t="s">
        <v>84</v>
      </c>
      <c r="M124" s="11" t="str">
        <f>VLOOKUP(A124,Fernheizwerke[],3)</f>
        <v>Alperia 2021</v>
      </c>
    </row>
    <row r="125" spans="1:13">
      <c r="A125" s="99" t="s">
        <v>131</v>
      </c>
      <c r="B125" s="142" t="s">
        <v>35</v>
      </c>
      <c r="C125" s="73"/>
      <c r="D125" s="61"/>
      <c r="E125" s="161" t="str">
        <f>IF(C125&gt;0,C125*D125,"")</f>
        <v/>
      </c>
      <c r="F125" s="102"/>
      <c r="G125" s="13"/>
      <c r="H125" s="2"/>
      <c r="I125" s="268"/>
      <c r="J125" s="2"/>
      <c r="K125" s="12"/>
      <c r="L125" s="12"/>
      <c r="M125" s="12"/>
    </row>
    <row r="126" spans="1:13">
      <c r="A126" s="99" t="s">
        <v>132</v>
      </c>
      <c r="B126" s="142" t="s">
        <v>35</v>
      </c>
      <c r="C126" s="68"/>
      <c r="D126" s="56"/>
      <c r="E126" s="161" t="str">
        <f>IF(C126&gt;0,C126*D126,"")</f>
        <v/>
      </c>
      <c r="F126" s="102"/>
      <c r="G126" s="13"/>
      <c r="H126" s="2"/>
      <c r="I126" s="268"/>
      <c r="J126" s="2"/>
      <c r="K126" s="12"/>
      <c r="L126" s="12"/>
      <c r="M126" s="12"/>
    </row>
    <row r="127" spans="1:13">
      <c r="A127" s="143"/>
      <c r="B127" s="100"/>
      <c r="C127" s="101"/>
      <c r="D127" s="101"/>
      <c r="E127" s="101"/>
      <c r="F127" s="102"/>
      <c r="G127" s="13"/>
      <c r="H127" s="2"/>
      <c r="I127" s="2"/>
      <c r="J127" s="2"/>
      <c r="K127" s="12"/>
      <c r="L127" s="12"/>
      <c r="M127" s="12"/>
    </row>
    <row r="128" spans="1:13">
      <c r="A128" s="136"/>
      <c r="B128" s="137"/>
      <c r="C128" s="138"/>
      <c r="D128" s="138"/>
      <c r="E128" s="138"/>
      <c r="F128" s="135"/>
      <c r="G128" s="13"/>
      <c r="H128" s="2"/>
      <c r="I128" s="2"/>
      <c r="J128" s="2"/>
      <c r="K128" s="12"/>
      <c r="L128" s="12"/>
      <c r="M128" s="12"/>
    </row>
    <row r="129" spans="1:13">
      <c r="A129" s="13"/>
      <c r="B129" s="14"/>
      <c r="C129" s="13"/>
      <c r="D129" s="13"/>
      <c r="E129" s="13"/>
      <c r="F129" s="13"/>
      <c r="G129" s="13"/>
      <c r="H129" s="2"/>
      <c r="I129" s="2"/>
      <c r="J129" s="2"/>
      <c r="K129" s="12"/>
      <c r="L129" s="12"/>
      <c r="M129" s="12"/>
    </row>
    <row r="130" spans="1:13">
      <c r="A130" s="13"/>
      <c r="B130" s="14"/>
      <c r="C130" s="13"/>
      <c r="D130" s="13"/>
      <c r="E130" s="13"/>
      <c r="F130" s="13"/>
      <c r="G130" s="13"/>
      <c r="H130" s="2"/>
      <c r="I130" s="2"/>
      <c r="J130" s="2"/>
      <c r="K130" s="12"/>
      <c r="L130" s="12"/>
      <c r="M130" s="12"/>
    </row>
    <row r="131" spans="1:13" ht="21.6" customHeight="1">
      <c r="A131" s="88" t="s">
        <v>133</v>
      </c>
      <c r="B131" s="91"/>
      <c r="C131" s="89"/>
      <c r="D131" s="89"/>
      <c r="E131" s="89"/>
      <c r="F131" s="90"/>
      <c r="G131" s="13"/>
      <c r="H131" s="6"/>
      <c r="I131" s="266"/>
      <c r="J131" s="8"/>
      <c r="K131" s="12"/>
      <c r="L131" s="12"/>
      <c r="M131" s="12"/>
    </row>
    <row r="132" spans="1:13" ht="21">
      <c r="A132" s="162"/>
      <c r="B132" s="93"/>
      <c r="C132" s="94"/>
      <c r="D132" s="94"/>
      <c r="E132" s="94"/>
      <c r="F132" s="113"/>
      <c r="G132" s="13"/>
      <c r="H132" s="2"/>
      <c r="I132" s="266"/>
      <c r="J132" s="8"/>
      <c r="K132" s="12"/>
      <c r="L132" s="12"/>
      <c r="M132" s="12"/>
    </row>
    <row r="133" spans="1:13">
      <c r="A133" s="110"/>
      <c r="B133" s="105"/>
      <c r="C133" s="105"/>
      <c r="D133" s="105"/>
      <c r="E133" s="105"/>
      <c r="F133" s="113"/>
      <c r="G133" s="13"/>
      <c r="H133" s="2"/>
      <c r="I133" s="266"/>
      <c r="J133" s="8"/>
      <c r="K133" s="12"/>
      <c r="L133" s="12"/>
      <c r="M133" s="12"/>
    </row>
    <row r="134" spans="1:13">
      <c r="A134" s="103"/>
      <c r="B134" s="104"/>
      <c r="C134" s="105"/>
      <c r="D134" s="105"/>
      <c r="E134" s="105"/>
      <c r="F134" s="113"/>
      <c r="G134" s="13"/>
      <c r="H134" s="2"/>
      <c r="I134" s="2"/>
      <c r="J134" s="2"/>
      <c r="K134" s="12"/>
      <c r="L134" s="12"/>
      <c r="M134" s="12"/>
    </row>
    <row r="135" spans="1:13" ht="15.75" thickBot="1">
      <c r="A135" s="110"/>
      <c r="B135" s="104"/>
      <c r="C135" s="108" t="s">
        <v>26</v>
      </c>
      <c r="D135" s="108" t="s">
        <v>25</v>
      </c>
      <c r="E135" s="105"/>
      <c r="F135" s="113"/>
      <c r="G135" s="13"/>
      <c r="H135" s="2"/>
      <c r="I135" s="2"/>
      <c r="J135" s="2"/>
      <c r="K135" s="12"/>
      <c r="L135" s="12"/>
      <c r="M135" s="12"/>
    </row>
    <row r="136" spans="1:13" ht="15.75" thickBot="1">
      <c r="A136" s="174" t="s">
        <v>20</v>
      </c>
      <c r="B136" s="175"/>
      <c r="C136" s="176">
        <f>SUM(C137:C139)/1000</f>
        <v>0</v>
      </c>
      <c r="D136" s="177" t="s">
        <v>134</v>
      </c>
      <c r="E136" s="105"/>
      <c r="F136" s="113"/>
      <c r="G136" s="13"/>
      <c r="H136" s="2"/>
      <c r="I136" s="2"/>
      <c r="J136" s="2"/>
      <c r="K136" s="12"/>
      <c r="L136" s="12"/>
      <c r="M136" s="12"/>
    </row>
    <row r="137" spans="1:13">
      <c r="A137" s="105" t="s">
        <v>135</v>
      </c>
      <c r="B137" s="104"/>
      <c r="C137" s="227">
        <f>SUM(E19:E33)</f>
        <v>0</v>
      </c>
      <c r="D137" s="178" t="s">
        <v>136</v>
      </c>
      <c r="E137" s="105"/>
      <c r="F137" s="113"/>
      <c r="G137" s="13"/>
      <c r="H137" s="2"/>
      <c r="I137" s="2"/>
      <c r="J137" s="2"/>
      <c r="K137" s="12"/>
      <c r="L137" s="12"/>
      <c r="M137" s="12"/>
    </row>
    <row r="138" spans="1:13">
      <c r="A138" s="105" t="s">
        <v>60</v>
      </c>
      <c r="B138" s="104"/>
      <c r="C138" s="228">
        <f>SUM(E47:E62)+SUM(E66:E106)</f>
        <v>0</v>
      </c>
      <c r="D138" s="179" t="s">
        <v>136</v>
      </c>
      <c r="E138" s="105"/>
      <c r="F138" s="113"/>
      <c r="G138" s="13"/>
      <c r="H138" s="2"/>
      <c r="I138" s="2"/>
      <c r="J138" s="2"/>
      <c r="K138" s="12"/>
      <c r="L138" s="12"/>
      <c r="M138" s="12"/>
    </row>
    <row r="139" spans="1:13">
      <c r="A139" s="105" t="s">
        <v>52</v>
      </c>
      <c r="B139" s="104"/>
      <c r="C139" s="229">
        <f>SUM(E38:E42)</f>
        <v>0</v>
      </c>
      <c r="D139" s="179" t="s">
        <v>136</v>
      </c>
      <c r="E139" s="105"/>
      <c r="F139" s="113"/>
      <c r="G139" s="13"/>
      <c r="H139" s="2"/>
      <c r="I139" s="2"/>
      <c r="J139" s="2"/>
      <c r="K139" s="12"/>
      <c r="L139" s="12"/>
      <c r="M139" s="12"/>
    </row>
    <row r="140" spans="1:13" ht="15.75" thickBot="1">
      <c r="A140" s="103"/>
      <c r="B140" s="104"/>
      <c r="C140" s="105"/>
      <c r="D140" s="180"/>
      <c r="E140" s="105"/>
      <c r="F140" s="113"/>
      <c r="G140" s="13"/>
      <c r="H140" s="2"/>
      <c r="I140" s="2"/>
      <c r="J140" s="2"/>
      <c r="K140" s="12"/>
      <c r="L140" s="12"/>
      <c r="M140" s="12"/>
    </row>
    <row r="141" spans="1:13">
      <c r="A141" s="233" t="s">
        <v>137</v>
      </c>
      <c r="B141" s="167"/>
      <c r="C141" s="168">
        <f>(C143+C145+C146+C147)/1000</f>
        <v>0</v>
      </c>
      <c r="D141" s="169" t="s">
        <v>134</v>
      </c>
      <c r="E141" s="105"/>
      <c r="F141" s="113"/>
      <c r="G141" s="13"/>
      <c r="H141" s="2"/>
      <c r="I141" s="2"/>
      <c r="J141" s="2"/>
      <c r="K141" s="12"/>
      <c r="L141" s="12"/>
      <c r="M141" s="12"/>
    </row>
    <row r="142" spans="1:13" ht="15.75" customHeight="1" thickBot="1">
      <c r="A142" s="170" t="s">
        <v>138</v>
      </c>
      <c r="B142" s="171"/>
      <c r="C142" s="172">
        <f>(C144+C146+C147)/1000</f>
        <v>0</v>
      </c>
      <c r="D142" s="173" t="s">
        <v>134</v>
      </c>
      <c r="E142" s="105"/>
      <c r="F142" s="113"/>
      <c r="G142" s="13"/>
      <c r="H142" s="2" t="s">
        <v>8</v>
      </c>
      <c r="I142" s="266" t="s">
        <v>139</v>
      </c>
      <c r="J142" s="2"/>
      <c r="K142" s="12"/>
      <c r="L142" s="12"/>
      <c r="M142" s="12"/>
    </row>
    <row r="143" spans="1:13">
      <c r="A143" s="105" t="s">
        <v>140</v>
      </c>
      <c r="B143" s="104"/>
      <c r="C143" s="230">
        <f>SUM(E115)</f>
        <v>0</v>
      </c>
      <c r="D143" s="178" t="s">
        <v>136</v>
      </c>
      <c r="E143" s="105"/>
      <c r="F143" s="113"/>
      <c r="G143" s="13"/>
      <c r="H143" s="2"/>
      <c r="I143" s="266"/>
      <c r="J143" s="2"/>
      <c r="K143" s="12"/>
      <c r="L143" s="12"/>
      <c r="M143" s="12"/>
    </row>
    <row r="144" spans="1:13">
      <c r="A144" s="105" t="s">
        <v>141</v>
      </c>
      <c r="B144" s="104"/>
      <c r="C144" s="229">
        <f>IF(C117&gt;0,SUM(E117),SUM(E115))</f>
        <v>0</v>
      </c>
      <c r="D144" s="179" t="s">
        <v>136</v>
      </c>
      <c r="E144" s="105"/>
      <c r="F144" s="113"/>
      <c r="G144" s="13"/>
      <c r="H144" s="2"/>
      <c r="I144" s="2"/>
      <c r="J144" s="2"/>
      <c r="K144" s="12"/>
      <c r="L144" s="12"/>
      <c r="M144" s="12"/>
    </row>
    <row r="145" spans="1:13">
      <c r="A145" s="105" t="s">
        <v>142</v>
      </c>
      <c r="B145" s="104"/>
      <c r="C145" s="229">
        <f>SUM(E119)</f>
        <v>0</v>
      </c>
      <c r="D145" s="179" t="s">
        <v>136</v>
      </c>
      <c r="E145" s="105"/>
      <c r="F145" s="113"/>
      <c r="G145" s="13"/>
      <c r="H145" s="2"/>
      <c r="I145" s="2"/>
      <c r="J145" s="2"/>
      <c r="K145" s="12"/>
      <c r="L145" s="12"/>
      <c r="M145" s="12"/>
    </row>
    <row r="146" spans="1:13">
      <c r="A146" s="105" t="s">
        <v>143</v>
      </c>
      <c r="B146" s="104"/>
      <c r="C146" s="229">
        <f>SUM(E124)+SUM(E125)</f>
        <v>0</v>
      </c>
      <c r="D146" s="179" t="s">
        <v>136</v>
      </c>
      <c r="E146" s="105"/>
      <c r="F146" s="113"/>
      <c r="G146" s="13"/>
      <c r="H146" s="2"/>
      <c r="I146" s="2"/>
      <c r="J146" s="2"/>
      <c r="K146" s="12"/>
      <c r="L146" s="12"/>
      <c r="M146" s="12"/>
    </row>
    <row r="147" spans="1:13">
      <c r="A147" s="105" t="s">
        <v>132</v>
      </c>
      <c r="B147" s="104"/>
      <c r="C147" s="229">
        <f>SUM(E126)</f>
        <v>0</v>
      </c>
      <c r="D147" s="179" t="s">
        <v>136</v>
      </c>
      <c r="E147" s="105"/>
      <c r="F147" s="113"/>
      <c r="G147" s="13"/>
      <c r="H147" s="2"/>
      <c r="I147" s="2"/>
      <c r="J147" s="2"/>
      <c r="K147" s="12"/>
      <c r="L147" s="12"/>
      <c r="M147" s="12"/>
    </row>
    <row r="148" spans="1:13">
      <c r="A148" s="110"/>
      <c r="B148" s="104"/>
      <c r="C148" s="105"/>
      <c r="D148" s="105"/>
      <c r="E148" s="105"/>
      <c r="F148" s="113"/>
      <c r="G148" s="13"/>
      <c r="H148" s="2"/>
      <c r="I148" s="2"/>
      <c r="J148" s="2"/>
      <c r="K148" s="12"/>
      <c r="L148" s="12"/>
      <c r="M148" s="12"/>
    </row>
    <row r="149" spans="1:13">
      <c r="A149" s="164"/>
      <c r="B149" s="165"/>
      <c r="C149" s="166"/>
      <c r="D149" s="166"/>
      <c r="E149" s="166"/>
      <c r="F149" s="163"/>
      <c r="G149" s="13"/>
      <c r="H149" s="2"/>
      <c r="I149" s="2"/>
      <c r="J149" s="2"/>
      <c r="K149" s="12"/>
      <c r="L149" s="12"/>
      <c r="M149" s="12"/>
    </row>
    <row r="150" spans="1:13">
      <c r="A150" s="13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</sheetData>
  <sheetProtection algorithmName="SHA-512" hashValue="PfYq3L5HcrsYyHsZLhFtvhcLB38FAefXFOC3l8otHK6lLZzABCaZGva9XEUy9opTQjXfmUUB/uEblc60pIyEkQ==" saltValue="wGny7yJ2LqT0oOfrRtKnVw==" spinCount="100000" sheet="1" objects="1" scenarios="1"/>
  <mergeCells count="23">
    <mergeCell ref="B8:D8"/>
    <mergeCell ref="B3:D3"/>
    <mergeCell ref="B4:D4"/>
    <mergeCell ref="B5:D5"/>
    <mergeCell ref="B6:D6"/>
    <mergeCell ref="B7:D7"/>
    <mergeCell ref="I97:I99"/>
    <mergeCell ref="B9:D9"/>
    <mergeCell ref="B10:D10"/>
    <mergeCell ref="I14:I16"/>
    <mergeCell ref="I18:I23"/>
    <mergeCell ref="I37:I43"/>
    <mergeCell ref="I44:I45"/>
    <mergeCell ref="H47:H48"/>
    <mergeCell ref="I47:I53"/>
    <mergeCell ref="H56:H58"/>
    <mergeCell ref="I56:I58"/>
    <mergeCell ref="A64:E64"/>
    <mergeCell ref="I117:I119"/>
    <mergeCell ref="I121:I122"/>
    <mergeCell ref="I124:I126"/>
    <mergeCell ref="I131:I133"/>
    <mergeCell ref="I142:I14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3501D6E5-6845-45BC-83BD-15FE9BCA6C43}">
          <x14:formula1>
            <xm:f>Refrigeranti!$A$2:$A$22</xm:f>
          </x14:formula1>
          <xm:sqref>A39</xm:sqref>
        </x14:dataValidation>
        <x14:dataValidation type="list" allowBlank="1" showInputMessage="1" showErrorMessage="1" xr:uid="{D4302CA4-A0ED-43F5-A405-B0B1F84828B9}">
          <x14:formula1>
            <xm:f>'Fattori di emissione'!$A$27:$A$28</xm:f>
          </x14:formula1>
          <xm:sqref>B24</xm:sqref>
        </x14:dataValidation>
        <x14:dataValidation type="list" allowBlank="1" showInputMessage="1" showErrorMessage="1" xr:uid="{1989403B-5E5B-4D2F-84C0-CDA6E5D63C81}">
          <x14:formula1>
            <xm:f>'Teleriscaldamento in AA'!$A$2:$A$9</xm:f>
          </x14:formula1>
          <xm:sqref>A124</xm:sqref>
        </x14:dataValidation>
        <x14:dataValidation type="list" allowBlank="1" showInputMessage="1" showErrorMessage="1" xr:uid="{6D504970-5699-429E-9BA5-0CCB61FEFF8A}">
          <x14:formula1>
            <xm:f>'Fattori di emissione'!$A$54:$A$55</xm:f>
          </x14:formula1>
          <xm:sqref>B29</xm:sqref>
        </x14:dataValidation>
        <x14:dataValidation type="list" allowBlank="1" showInputMessage="1" showErrorMessage="1" xr:uid="{05E08B62-EA2C-4803-8301-A6C61AC83D55}">
          <x14:formula1>
            <xm:f>check!$A$3:$A$4</xm:f>
          </x14:formula1>
          <xm:sqref>B57 B116 B120</xm:sqref>
        </x14:dataValidation>
        <x14:dataValidation type="list" allowBlank="1" showInputMessage="1" showErrorMessage="1" xr:uid="{BAAC839E-DA64-4BD4-8BA2-218DBF81AFB3}">
          <x14:formula1>
            <xm:f>'Fattori di emissione'!$A$13:$A$14</xm:f>
          </x14:formula1>
          <xm:sqref>B21</xm:sqref>
        </x14:dataValidation>
        <x14:dataValidation type="list" showInputMessage="1" showErrorMessage="1" xr:uid="{F5EB0500-7EC9-4907-888A-CFBA2151F7F1}">
          <x14:formula1>
            <xm:f>Refrigeranti!$A$2:$A$23</xm:f>
          </x14:formula1>
          <xm:sqref>A38</xm:sqref>
        </x14:dataValidation>
        <x14:dataValidation type="list" allowBlank="1" showInputMessage="1" showErrorMessage="1" xr:uid="{40905B75-3568-4042-8A5E-18248830F706}">
          <x14:formula1>
            <xm:f>Refrigeranti!$A$2:$A$23</xm:f>
          </x14:formula1>
          <xm:sqref>A40</xm:sqref>
        </x14:dataValidation>
        <x14:dataValidation type="list" allowBlank="1" showInputMessage="1" showErrorMessage="1" xr:uid="{D9D8CDBD-C657-4AAA-8748-BC94D3E40C3C}">
          <x14:formula1>
            <xm:f>'Fattori di emissione'!$A$46:$A$47</xm:f>
          </x14:formula1>
          <xm:sqref>B28</xm:sqref>
        </x14:dataValidation>
        <x14:dataValidation type="list" allowBlank="1" showInputMessage="1" showErrorMessage="1" xr:uid="{169D20F6-D2B7-459E-B2B6-745253CA3C8D}">
          <x14:formula1>
            <xm:f>'Fattori di emissione'!$A$41:$A$43</xm:f>
          </x14:formula1>
          <xm:sqref>B27</xm:sqref>
        </x14:dataValidation>
        <x14:dataValidation type="list" allowBlank="1" showInputMessage="1" showErrorMessage="1" xr:uid="{2FD9C642-1467-4E36-9D49-EB9DE65190B2}">
          <x14:formula1>
            <xm:f>'Fattori di emissione'!$A$37:$A$38</xm:f>
          </x14:formula1>
          <xm:sqref>B26</xm:sqref>
        </x14:dataValidation>
        <x14:dataValidation type="list" allowBlank="1" showInputMessage="1" showErrorMessage="1" xr:uid="{3B497F59-3C5E-4C25-AC20-94C768180E58}">
          <x14:formula1>
            <xm:f>'Fattori di emissione'!$A$31:$A$34</xm:f>
          </x14:formula1>
          <xm:sqref>B25</xm:sqref>
        </x14:dataValidation>
        <x14:dataValidation type="list" allowBlank="1" showInputMessage="1" showErrorMessage="1" xr:uid="{10F52E71-AE70-4A44-9A76-BA308438009D}">
          <x14:formula1>
            <xm:f>'Fattori di emissione'!$A$23:$A$24</xm:f>
          </x14:formula1>
          <xm:sqref>B23</xm:sqref>
        </x14:dataValidation>
        <x14:dataValidation type="list" allowBlank="1" showInputMessage="1" showErrorMessage="1" xr:uid="{A85A9588-3EF0-4B39-A510-12B5B5108797}">
          <x14:formula1>
            <xm:f>'Fattori di emissione'!$A$18:$A$20</xm:f>
          </x14:formula1>
          <xm:sqref>B22</xm:sqref>
        </x14:dataValidation>
        <x14:dataValidation type="list" allowBlank="1" showInputMessage="1" showErrorMessage="1" xr:uid="{03DAEA7E-FFBC-4C97-B945-88FC8A900B4E}">
          <x14:formula1>
            <xm:f>'Fattori di emissione'!$A$8:$A$10</xm:f>
          </x14:formula1>
          <xm:sqref>B20</xm:sqref>
        </x14:dataValidation>
        <x14:dataValidation type="list" allowBlank="1" showInputMessage="1" showErrorMessage="1" xr:uid="{2F13C3CF-7281-4E9D-8BB8-1818E7B55B13}">
          <x14:formula1>
            <xm:f>'Fattori di emissione'!$A$4:$A$5</xm:f>
          </x14:formula1>
          <xm:sqref>B19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2A00-7BAD-4DDD-9619-1F3CEA255C7D}">
  <dimension ref="A1:S57"/>
  <sheetViews>
    <sheetView showGridLines="0" zoomScale="98" zoomScaleNormal="98" workbookViewId="0">
      <selection activeCell="P1" sqref="P1:S1048576"/>
    </sheetView>
  </sheetViews>
  <sheetFormatPr defaultColWidth="9.140625" defaultRowHeight="15"/>
  <cols>
    <col min="1" max="1" width="44.28515625" customWidth="1"/>
    <col min="2" max="2" width="21.85546875" style="9" customWidth="1"/>
    <col min="16" max="16" width="24.7109375" style="206" bestFit="1" customWidth="1"/>
    <col min="17" max="17" width="12.140625" style="206" bestFit="1" customWidth="1"/>
    <col min="18" max="18" width="18.7109375" style="206" customWidth="1"/>
    <col min="19" max="19" width="12.140625" style="206" bestFit="1" customWidth="1"/>
  </cols>
  <sheetData>
    <row r="1" spans="1:19" ht="26.1" customHeight="1">
      <c r="A1" s="218" t="s">
        <v>166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7" t="s">
        <v>145</v>
      </c>
    </row>
    <row r="3" spans="1:19" ht="15.75" thickBot="1">
      <c r="A3" s="2"/>
      <c r="B3" s="53">
        <v>2026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06" t="s">
        <v>20</v>
      </c>
      <c r="R3" s="206" t="s">
        <v>8</v>
      </c>
    </row>
    <row r="4" spans="1:19" ht="51.6" customHeight="1">
      <c r="A4" s="181" t="s">
        <v>146</v>
      </c>
      <c r="B4" s="183" t="s">
        <v>147</v>
      </c>
      <c r="C4" s="2"/>
      <c r="D4" s="6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06" t="s">
        <v>148</v>
      </c>
      <c r="Q4" s="208">
        <f>$B$8</f>
        <v>0</v>
      </c>
      <c r="R4" s="208">
        <f>$B$17</f>
        <v>0</v>
      </c>
      <c r="S4" s="208"/>
    </row>
    <row r="5" spans="1:19">
      <c r="A5" s="33" t="s">
        <v>135</v>
      </c>
      <c r="B5" s="85">
        <f>'Dati 2026'!C137/1000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06" t="s">
        <v>149</v>
      </c>
      <c r="Q5" s="208">
        <f>$B$8</f>
        <v>0</v>
      </c>
      <c r="R5" s="208">
        <f>$B$18</f>
        <v>0</v>
      </c>
      <c r="S5" s="208"/>
    </row>
    <row r="6" spans="1:19">
      <c r="A6" s="33" t="s">
        <v>60</v>
      </c>
      <c r="B6" s="85">
        <f>'Dati 2026'!C138/1000</f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208"/>
      <c r="R6" s="208"/>
      <c r="S6" s="208"/>
    </row>
    <row r="7" spans="1:19">
      <c r="A7" s="33" t="s">
        <v>52</v>
      </c>
      <c r="B7" s="85">
        <f>'Dati 2026'!C139/1000</f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Q7" s="208"/>
      <c r="R7" s="208"/>
      <c r="S7" s="208"/>
    </row>
    <row r="8" spans="1:19" ht="15.75" thickBot="1">
      <c r="A8" s="37" t="s">
        <v>150</v>
      </c>
      <c r="B8" s="86">
        <f>B5+B6+B7</f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Q8" s="208"/>
      <c r="R8" s="208"/>
      <c r="S8" s="208"/>
    </row>
    <row r="9" spans="1:19">
      <c r="A9" s="35"/>
      <c r="B9" s="3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9" ht="15.75" thickBot="1">
      <c r="A10" s="8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9" ht="53.45" customHeight="1">
      <c r="A11" s="181" t="s">
        <v>151</v>
      </c>
      <c r="B11" s="183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9">
      <c r="A12" s="33" t="s">
        <v>140</v>
      </c>
      <c r="B12" s="85">
        <f>'Dati 2026'!C143/1000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>
      <c r="A13" s="33" t="s">
        <v>141</v>
      </c>
      <c r="B13" s="85">
        <f>'Dati 2026'!C144/1000</f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07" t="s">
        <v>152</v>
      </c>
    </row>
    <row r="14" spans="1:19">
      <c r="A14" s="33" t="s">
        <v>142</v>
      </c>
      <c r="B14" s="85">
        <f>'Dati 2026'!C145/1000</f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206" t="s">
        <v>20</v>
      </c>
      <c r="R14" s="206" t="s">
        <v>8</v>
      </c>
    </row>
    <row r="15" spans="1:19">
      <c r="A15" s="33" t="s">
        <v>143</v>
      </c>
      <c r="B15" s="85">
        <f>'Dati 2026'!C146/1000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06">
        <v>2024</v>
      </c>
      <c r="Q15" s="208">
        <f>$B$8</f>
        <v>0</v>
      </c>
      <c r="R15" s="208">
        <f>$B$17</f>
        <v>0</v>
      </c>
    </row>
    <row r="16" spans="1:19" ht="30">
      <c r="A16" s="33" t="s">
        <v>132</v>
      </c>
      <c r="B16" s="85">
        <f>'Dati 2026'!C147/1000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09"/>
      <c r="Q16" s="210"/>
    </row>
    <row r="17" spans="1:19" ht="30">
      <c r="A17" s="36" t="s">
        <v>153</v>
      </c>
      <c r="B17" s="87">
        <f>B12+B14+B15+B16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07" t="s">
        <v>154</v>
      </c>
      <c r="Q17" s="206" t="s">
        <v>20</v>
      </c>
      <c r="R17" s="206" t="s">
        <v>8</v>
      </c>
    </row>
    <row r="18" spans="1:19" ht="15.75" thickBot="1">
      <c r="A18" s="37" t="s">
        <v>155</v>
      </c>
      <c r="B18" s="86">
        <f>B13+B15+B16</f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24">
        <v>2024</v>
      </c>
      <c r="Q18" s="225">
        <f>$B$8</f>
        <v>0</v>
      </c>
      <c r="R18" s="226">
        <f>$B$18</f>
        <v>0</v>
      </c>
    </row>
    <row r="19" spans="1:19">
      <c r="A19" s="32"/>
      <c r="B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09"/>
      <c r="Q19" s="210"/>
    </row>
    <row r="20" spans="1:19" ht="15.75" thickBot="1">
      <c r="A20" s="32"/>
      <c r="B20" s="3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07" t="s">
        <v>156</v>
      </c>
      <c r="Q20" s="210"/>
      <c r="R20" s="207" t="s">
        <v>157</v>
      </c>
    </row>
    <row r="21" spans="1:19">
      <c r="A21" s="181" t="s">
        <v>158</v>
      </c>
      <c r="B21" s="22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09"/>
      <c r="Q21" s="210"/>
    </row>
    <row r="22" spans="1:19" ht="30">
      <c r="A22" s="33" t="s">
        <v>159</v>
      </c>
      <c r="B22" s="222" t="e">
        <f>(B8+B17)/('Dati 2026'!B7/1000)</f>
        <v>#DIV/0!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12" t="s">
        <v>135</v>
      </c>
      <c r="Q22" s="208">
        <f>$B$5</f>
        <v>0</v>
      </c>
      <c r="R22" s="212" t="s">
        <v>135</v>
      </c>
      <c r="S22" s="208">
        <f>$B$5</f>
        <v>0</v>
      </c>
    </row>
    <row r="23" spans="1:19" ht="30.75" thickBot="1">
      <c r="A23" s="34" t="s">
        <v>160</v>
      </c>
      <c r="B23" s="223" t="e">
        <f>(B8+B17)/'Dati 2026'!B6</f>
        <v>#DIV/0!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12" t="s">
        <v>161</v>
      </c>
      <c r="Q23" s="208">
        <f>$B$6</f>
        <v>0</v>
      </c>
      <c r="R23" s="212" t="s">
        <v>161</v>
      </c>
      <c r="S23" s="208">
        <f>$B$6</f>
        <v>0</v>
      </c>
    </row>
    <row r="24" spans="1:19" ht="30">
      <c r="A24" s="16"/>
      <c r="B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12" t="s">
        <v>52</v>
      </c>
      <c r="Q24" s="208">
        <f>$B$7</f>
        <v>0</v>
      </c>
      <c r="R24" s="212" t="s">
        <v>52</v>
      </c>
      <c r="S24" s="208">
        <f>$B$7</f>
        <v>0</v>
      </c>
    </row>
    <row r="25" spans="1:19" ht="60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12" t="s">
        <v>162</v>
      </c>
      <c r="Q25" s="208">
        <f>$B$12</f>
        <v>0</v>
      </c>
      <c r="R25" s="212" t="s">
        <v>163</v>
      </c>
      <c r="S25" s="208">
        <f>$B$13</f>
        <v>0</v>
      </c>
    </row>
    <row r="26" spans="1:19" ht="45">
      <c r="A26" s="16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12" t="s">
        <v>142</v>
      </c>
      <c r="Q26" s="208">
        <f>$B$14</f>
        <v>0</v>
      </c>
      <c r="R26" s="212" t="s">
        <v>142</v>
      </c>
      <c r="S26" s="208">
        <f>$B$14</f>
        <v>0</v>
      </c>
    </row>
    <row r="27" spans="1:19">
      <c r="A27" s="16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12" t="s">
        <v>143</v>
      </c>
      <c r="Q27" s="208">
        <f>$B$15</f>
        <v>0</v>
      </c>
      <c r="R27" s="212" t="s">
        <v>143</v>
      </c>
      <c r="S27" s="208">
        <f>$B$15</f>
        <v>0</v>
      </c>
    </row>
    <row r="28" spans="1:19" ht="60">
      <c r="A28" s="16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12" t="s">
        <v>132</v>
      </c>
      <c r="Q28" s="208">
        <f>$B$16</f>
        <v>0</v>
      </c>
      <c r="R28" s="212" t="s">
        <v>132</v>
      </c>
      <c r="S28" s="208">
        <f>$B$16</f>
        <v>0</v>
      </c>
    </row>
    <row r="29" spans="1:19">
      <c r="A29" s="16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208"/>
      <c r="R29" s="212"/>
      <c r="S29" s="208"/>
    </row>
    <row r="30" spans="1:19">
      <c r="A30" s="16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208"/>
      <c r="R30" s="212"/>
      <c r="S30" s="208"/>
    </row>
    <row r="31" spans="1:19">
      <c r="A31" s="16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208"/>
      <c r="S31" s="208"/>
    </row>
    <row r="32" spans="1:19">
      <c r="A32" s="16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07" t="s">
        <v>164</v>
      </c>
      <c r="S32" s="208"/>
    </row>
    <row r="33" spans="1:19" ht="30">
      <c r="A33" s="16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69" t="s">
        <v>20</v>
      </c>
      <c r="Q33" s="270">
        <f>$B$8</f>
        <v>0</v>
      </c>
      <c r="R33" s="212" t="s">
        <v>135</v>
      </c>
      <c r="S33" s="208">
        <f>$B$5</f>
        <v>0</v>
      </c>
    </row>
    <row r="34" spans="1:19">
      <c r="A34" s="16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69"/>
      <c r="Q34" s="269"/>
      <c r="R34" s="212" t="s">
        <v>161</v>
      </c>
      <c r="S34" s="208">
        <f>$B$6</f>
        <v>0</v>
      </c>
    </row>
    <row r="35" spans="1:19" ht="30">
      <c r="A35" s="16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69"/>
      <c r="Q35" s="269"/>
      <c r="R35" s="212" t="s">
        <v>52</v>
      </c>
      <c r="S35" s="208">
        <f>$B$7</f>
        <v>0</v>
      </c>
    </row>
    <row r="36" spans="1:19" ht="60">
      <c r="A36" s="16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69" t="s">
        <v>8</v>
      </c>
      <c r="Q36" s="270">
        <f>$B$17</f>
        <v>0</v>
      </c>
      <c r="R36" s="212" t="s">
        <v>162</v>
      </c>
      <c r="S36" s="208">
        <f>$B$12</f>
        <v>0</v>
      </c>
    </row>
    <row r="37" spans="1:19" ht="45">
      <c r="A37" s="16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69"/>
      <c r="Q37" s="269"/>
      <c r="R37" s="212" t="s">
        <v>142</v>
      </c>
      <c r="S37" s="208">
        <f>$B$14</f>
        <v>0</v>
      </c>
    </row>
    <row r="38" spans="1:19">
      <c r="A38" s="16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69"/>
      <c r="Q38" s="269"/>
      <c r="R38" s="212" t="s">
        <v>143</v>
      </c>
      <c r="S38" s="208">
        <f>$B$15</f>
        <v>0</v>
      </c>
    </row>
    <row r="39" spans="1:19" ht="60">
      <c r="A39" s="16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69"/>
      <c r="Q39" s="269"/>
      <c r="R39" s="212" t="s">
        <v>132</v>
      </c>
      <c r="S39" s="208">
        <f>$B$16</f>
        <v>0</v>
      </c>
    </row>
    <row r="40" spans="1:19">
      <c r="A40" s="16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9">
      <c r="A41" s="16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9">
      <c r="A42" s="16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9">
      <c r="A43" s="16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9">
      <c r="A44" s="16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9">
      <c r="A45" s="16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9">
      <c r="A46" s="16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9">
      <c r="A47" s="16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9">
      <c r="A48" s="16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16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16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16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16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16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16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16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16"/>
      <c r="B56" s="1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16"/>
      <c r="B57" s="1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sheetProtection algorithmName="SHA-512" hashValue="hLti/P/BUP/CDhSSnCVLqMdbsGU7XBjNIZBaUnH3n6jTLVm3r9wZpIRDXhB82SuKCyUNXGg41Nh90tb3vyygeQ==" saltValue="4DqXq7uWtOFquByCxS7VPQ==" spinCount="100000" sheet="1" objects="1" scenarios="1"/>
  <mergeCells count="4">
    <mergeCell ref="P33:P35"/>
    <mergeCell ref="Q33:Q35"/>
    <mergeCell ref="P36:P39"/>
    <mergeCell ref="Q36:Q3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0992-9BF6-4C0C-90DA-65E00A664713}">
  <dimension ref="A1:U57"/>
  <sheetViews>
    <sheetView showGridLines="0" zoomScaleNormal="100" workbookViewId="0">
      <selection activeCell="C28" sqref="C28"/>
    </sheetView>
  </sheetViews>
  <sheetFormatPr defaultColWidth="9.140625" defaultRowHeight="15"/>
  <cols>
    <col min="1" max="1" width="44.28515625" customWidth="1"/>
    <col min="2" max="3" width="21.85546875" style="9" customWidth="1"/>
    <col min="4" max="4" width="21.85546875" customWidth="1"/>
    <col min="18" max="18" width="24.7109375" style="206" bestFit="1" customWidth="1"/>
    <col min="19" max="19" width="12.140625" style="206" bestFit="1" customWidth="1"/>
    <col min="20" max="20" width="18.7109375" style="206" customWidth="1"/>
    <col min="21" max="21" width="12.140625" style="206" bestFit="1" customWidth="1"/>
  </cols>
  <sheetData>
    <row r="1" spans="1:21" ht="26.1" customHeight="1">
      <c r="A1" s="218" t="s">
        <v>167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07" t="s">
        <v>145</v>
      </c>
    </row>
    <row r="3" spans="1:21" ht="15.75" thickBot="1">
      <c r="A3" s="2"/>
      <c r="B3" s="53">
        <v>2024</v>
      </c>
      <c r="C3" s="53">
        <v>2025</v>
      </c>
      <c r="D3" s="54">
        <v>2026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06" t="s">
        <v>20</v>
      </c>
      <c r="T3" s="206" t="s">
        <v>8</v>
      </c>
    </row>
    <row r="4" spans="1:21" ht="51.6" customHeight="1">
      <c r="A4" s="181" t="s">
        <v>168</v>
      </c>
      <c r="B4" s="182" t="s">
        <v>147</v>
      </c>
      <c r="C4" s="182" t="s">
        <v>147</v>
      </c>
      <c r="D4" s="183" t="s">
        <v>147</v>
      </c>
      <c r="E4" s="2"/>
      <c r="F4" s="6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06">
        <v>2024</v>
      </c>
      <c r="S4" s="208">
        <f>$B$8</f>
        <v>0</v>
      </c>
      <c r="T4" s="208">
        <f>$B$17</f>
        <v>0</v>
      </c>
      <c r="U4" s="208"/>
    </row>
    <row r="5" spans="1:21">
      <c r="A5" s="33" t="s">
        <v>135</v>
      </c>
      <c r="B5" s="74">
        <f>'Dati 2024'!C137/1000</f>
        <v>0</v>
      </c>
      <c r="C5" s="74">
        <f>'Dati 2025'!C137/1000</f>
        <v>0</v>
      </c>
      <c r="D5" s="85">
        <f>'Dati 2026'!C137/1000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06">
        <v>2025</v>
      </c>
      <c r="S5" s="208">
        <f>$C$8</f>
        <v>0</v>
      </c>
      <c r="T5" s="208">
        <f>$C$17</f>
        <v>0</v>
      </c>
      <c r="U5" s="208"/>
    </row>
    <row r="6" spans="1:21">
      <c r="A6" s="33" t="s">
        <v>60</v>
      </c>
      <c r="B6" s="74">
        <f>'Dati 2024'!C138/1000</f>
        <v>0</v>
      </c>
      <c r="C6" s="74">
        <f>'Dati 2025'!C138/1000</f>
        <v>0</v>
      </c>
      <c r="D6" s="85">
        <f>'Dati 2026'!C138/1000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06">
        <v>2026</v>
      </c>
      <c r="S6" s="208">
        <f>$D$8</f>
        <v>0</v>
      </c>
      <c r="T6" s="208">
        <f>$D$17</f>
        <v>0</v>
      </c>
      <c r="U6" s="208"/>
    </row>
    <row r="7" spans="1:21">
      <c r="A7" s="33" t="s">
        <v>52</v>
      </c>
      <c r="B7" s="74">
        <f>'Dati 2024'!C139/1000</f>
        <v>0</v>
      </c>
      <c r="C7" s="74">
        <f>'Dati 2025'!C139/1000</f>
        <v>0</v>
      </c>
      <c r="D7" s="85">
        <f>'Dati 2026'!C139/1000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S7" s="208"/>
      <c r="T7" s="208"/>
      <c r="U7" s="208"/>
    </row>
    <row r="8" spans="1:21" ht="15.75" thickBot="1">
      <c r="A8" s="37" t="s">
        <v>150</v>
      </c>
      <c r="B8" s="75">
        <f>B5+B6+B7</f>
        <v>0</v>
      </c>
      <c r="C8" s="75">
        <f>C5+C6+C7</f>
        <v>0</v>
      </c>
      <c r="D8" s="86">
        <f>D5+D6+D7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208"/>
      <c r="T8" s="208"/>
      <c r="U8" s="208"/>
    </row>
    <row r="9" spans="1:21">
      <c r="A9" s="35"/>
      <c r="B9" s="31"/>
      <c r="C9" s="3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07" t="s">
        <v>169</v>
      </c>
    </row>
    <row r="10" spans="1:21" ht="15.75" thickBot="1">
      <c r="A10" s="8"/>
      <c r="B10" s="8"/>
      <c r="C10" s="3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S10" s="206" t="s">
        <v>20</v>
      </c>
      <c r="T10" s="206" t="s">
        <v>8</v>
      </c>
    </row>
    <row r="11" spans="1:21" ht="53.45" customHeight="1">
      <c r="A11" s="181" t="s">
        <v>170</v>
      </c>
      <c r="B11" s="182" t="s">
        <v>147</v>
      </c>
      <c r="C11" s="182" t="s">
        <v>147</v>
      </c>
      <c r="D11" s="183" t="s">
        <v>147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06">
        <v>2024</v>
      </c>
      <c r="S11" s="208">
        <f>$B$8</f>
        <v>0</v>
      </c>
      <c r="T11" s="208">
        <f>$B$18</f>
        <v>0</v>
      </c>
    </row>
    <row r="12" spans="1:21">
      <c r="A12" s="33" t="s">
        <v>140</v>
      </c>
      <c r="B12" s="74">
        <f>'Dati 2024'!C143/1000</f>
        <v>0</v>
      </c>
      <c r="C12" s="74">
        <f>'Dati 2025'!C143/1000</f>
        <v>0</v>
      </c>
      <c r="D12" s="85">
        <f>'Dati 2026'!C143/1000</f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06">
        <v>2025</v>
      </c>
      <c r="S12" s="208">
        <f>$C$8</f>
        <v>0</v>
      </c>
      <c r="T12" s="208">
        <f>$C$18</f>
        <v>0</v>
      </c>
    </row>
    <row r="13" spans="1:21">
      <c r="A13" s="33" t="s">
        <v>141</v>
      </c>
      <c r="B13" s="74">
        <f>'Dati 2024'!C144/1000</f>
        <v>0</v>
      </c>
      <c r="C13" s="74">
        <f>'Dati 2025'!C144/1000</f>
        <v>0</v>
      </c>
      <c r="D13" s="85">
        <f>'Dati 2026'!C144/1000</f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06">
        <v>2026</v>
      </c>
      <c r="S13" s="208">
        <f>$D$8</f>
        <v>0</v>
      </c>
      <c r="T13" s="208">
        <f>$D$18</f>
        <v>0</v>
      </c>
    </row>
    <row r="14" spans="1:21">
      <c r="A14" s="33" t="s">
        <v>142</v>
      </c>
      <c r="B14" s="74">
        <f>'Dati 2024'!C145/1000</f>
        <v>0</v>
      </c>
      <c r="C14" s="74">
        <f>'Dati 2025'!C145/1000</f>
        <v>0</v>
      </c>
      <c r="D14" s="85">
        <f>'Dati 2026'!C145/1000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1">
      <c r="A15" s="33" t="s">
        <v>143</v>
      </c>
      <c r="B15" s="74">
        <f>'Dati 2024'!C146/1000</f>
        <v>0</v>
      </c>
      <c r="C15" s="74">
        <f>'Dati 2025'!C146/1000</f>
        <v>0</v>
      </c>
      <c r="D15" s="85">
        <f>'Dati 2026'!C146/1000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208"/>
      <c r="T15" s="208"/>
    </row>
    <row r="16" spans="1:21" ht="30">
      <c r="A16" s="33" t="s">
        <v>132</v>
      </c>
      <c r="B16" s="74">
        <f>'Dati 2024'!C147/1000</f>
        <v>0</v>
      </c>
      <c r="C16" s="74">
        <f>'Dati 2025'!C147/1000</f>
        <v>0</v>
      </c>
      <c r="D16" s="85">
        <f>'Dati 2026'!C147/1000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09"/>
      <c r="S16" s="210"/>
    </row>
    <row r="17" spans="1:21" ht="30">
      <c r="A17" s="36" t="s">
        <v>153</v>
      </c>
      <c r="B17" s="76">
        <f>B12+B14+B15+B16</f>
        <v>0</v>
      </c>
      <c r="C17" s="76">
        <f t="shared" ref="C17:D17" si="0">C12+C14+C15+C16</f>
        <v>0</v>
      </c>
      <c r="D17" s="87">
        <f t="shared" si="0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09"/>
      <c r="S17" s="210"/>
    </row>
    <row r="18" spans="1:21" ht="15.75" thickBot="1">
      <c r="A18" s="37" t="s">
        <v>155</v>
      </c>
      <c r="B18" s="75">
        <f>B13+B15+B16</f>
        <v>0</v>
      </c>
      <c r="C18" s="75">
        <f t="shared" ref="C18:D18" si="1">C13+C15+C16</f>
        <v>0</v>
      </c>
      <c r="D18" s="86">
        <f t="shared" si="1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09"/>
      <c r="S18" s="211"/>
    </row>
    <row r="19" spans="1:21">
      <c r="A19" s="32"/>
      <c r="B19" s="31"/>
      <c r="C19" s="3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09"/>
      <c r="S19" s="210"/>
    </row>
    <row r="20" spans="1:21" ht="15.75" thickBot="1">
      <c r="A20" s="32"/>
      <c r="B20" s="31"/>
      <c r="C20" s="3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07"/>
      <c r="S20" s="210"/>
    </row>
    <row r="21" spans="1:21">
      <c r="A21" s="181" t="s">
        <v>158</v>
      </c>
      <c r="B21" s="184"/>
      <c r="C21" s="184"/>
      <c r="D21" s="18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09"/>
      <c r="S21" s="210"/>
    </row>
    <row r="22" spans="1:21" ht="33">
      <c r="A22" s="33" t="s">
        <v>171</v>
      </c>
      <c r="B22" s="77" t="e">
        <f>(B8+B17)/('Dati 2024'!B7/1000)</f>
        <v>#DIV/0!</v>
      </c>
      <c r="C22" s="77" t="e">
        <f>(C8+C17)/('Dati 2025'!B7/1000)</f>
        <v>#DIV/0!</v>
      </c>
      <c r="D22" s="222" t="e">
        <f>(D8+D17)/('Dati 2026'!B7/1000)</f>
        <v>#DIV/0!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12"/>
      <c r="S22" s="208"/>
    </row>
    <row r="23" spans="1:21" ht="33.75" thickBot="1">
      <c r="A23" s="34" t="s">
        <v>172</v>
      </c>
      <c r="B23" s="78" t="e">
        <f>(B8+B17)/'Dati 2024'!B6</f>
        <v>#DIV/0!</v>
      </c>
      <c r="C23" s="78" t="e">
        <f>(C8+C17)/'Dati 2025'!B6</f>
        <v>#DIV/0!</v>
      </c>
      <c r="D23" s="223" t="e">
        <f>(D8+D17)/'Dati 2026'!B6</f>
        <v>#DIV/0!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12"/>
      <c r="S23" s="208"/>
    </row>
    <row r="24" spans="1:21">
      <c r="A24" s="16"/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12"/>
      <c r="S24" s="208"/>
    </row>
    <row r="25" spans="1:21">
      <c r="A25" s="16"/>
      <c r="B25" s="16"/>
      <c r="C25" s="3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12"/>
      <c r="S25" s="208"/>
      <c r="T25" s="271"/>
      <c r="U25" s="273"/>
    </row>
    <row r="26" spans="1:21">
      <c r="A26" s="16"/>
      <c r="B26" s="16"/>
      <c r="C26" s="3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12"/>
      <c r="S26" s="208"/>
      <c r="T26" s="271"/>
      <c r="U26" s="273"/>
    </row>
    <row r="27" spans="1:21">
      <c r="A27" s="16"/>
      <c r="B27" s="16"/>
      <c r="C27" s="3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12"/>
      <c r="S27" s="208"/>
      <c r="T27" s="271"/>
      <c r="U27" s="273"/>
    </row>
    <row r="28" spans="1:21">
      <c r="A28" s="16"/>
      <c r="B28" s="16"/>
      <c r="C28" s="3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12"/>
      <c r="S28" s="208"/>
      <c r="T28" s="212"/>
      <c r="U28" s="208"/>
    </row>
    <row r="29" spans="1:21">
      <c r="A29" s="16"/>
      <c r="B29" s="16"/>
      <c r="C29" s="3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S29" s="208"/>
      <c r="T29" s="212"/>
      <c r="U29" s="208"/>
    </row>
    <row r="30" spans="1:21">
      <c r="A30" s="16"/>
      <c r="B30" s="16"/>
      <c r="C30" s="3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S30" s="208"/>
      <c r="T30" s="212"/>
      <c r="U30" s="208"/>
    </row>
    <row r="31" spans="1:21">
      <c r="A31" s="16"/>
      <c r="B31" s="16"/>
      <c r="C31" s="3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S31" s="208"/>
      <c r="U31" s="208"/>
    </row>
    <row r="32" spans="1:21">
      <c r="A32" s="16"/>
      <c r="B32" s="16"/>
      <c r="C32" s="3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07"/>
      <c r="U32" s="208"/>
    </row>
    <row r="33" spans="1:21">
      <c r="A33" s="16"/>
      <c r="B33" s="16"/>
      <c r="C33" s="3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69"/>
      <c r="S33" s="270"/>
      <c r="T33" s="212"/>
      <c r="U33" s="208"/>
    </row>
    <row r="34" spans="1:21">
      <c r="A34" s="16"/>
      <c r="B34" s="16"/>
      <c r="C34" s="3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69"/>
      <c r="S34" s="269"/>
      <c r="T34" s="212"/>
      <c r="U34" s="208"/>
    </row>
    <row r="35" spans="1:21">
      <c r="A35" s="16"/>
      <c r="B35" s="16"/>
      <c r="C35" s="3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69"/>
      <c r="S35" s="269"/>
      <c r="T35" s="212"/>
      <c r="U35" s="208"/>
    </row>
    <row r="36" spans="1:21">
      <c r="A36" s="16"/>
      <c r="B36" s="16"/>
      <c r="C36" s="3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69"/>
      <c r="S36" s="270"/>
      <c r="T36" s="212"/>
      <c r="U36" s="208"/>
    </row>
    <row r="37" spans="1:21">
      <c r="A37" s="16"/>
      <c r="B37" s="16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69"/>
      <c r="S37" s="269"/>
      <c r="T37" s="212"/>
      <c r="U37" s="208"/>
    </row>
    <row r="38" spans="1:21">
      <c r="A38" s="16"/>
      <c r="B38" s="16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69"/>
      <c r="S38" s="269"/>
      <c r="T38" s="212"/>
      <c r="U38" s="208"/>
    </row>
    <row r="39" spans="1:21">
      <c r="A39" s="16"/>
      <c r="B39" s="16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69"/>
      <c r="S39" s="269"/>
      <c r="T39" s="212"/>
      <c r="U39" s="208"/>
    </row>
    <row r="40" spans="1:21">
      <c r="A40" s="16"/>
      <c r="B40" s="16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21">
      <c r="A41" s="16"/>
      <c r="B41" s="16"/>
      <c r="C41" s="3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1">
      <c r="A42" s="16"/>
      <c r="B42" s="16"/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1">
      <c r="A43" s="16"/>
      <c r="B43" s="16"/>
      <c r="C43" s="3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1">
      <c r="A44" s="16"/>
      <c r="B44" s="16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1">
      <c r="A45" s="16"/>
      <c r="B45" s="16"/>
      <c r="C45" s="3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1">
      <c r="A46" s="16"/>
      <c r="B46" s="16"/>
      <c r="C46" s="3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21">
      <c r="A47" s="16"/>
      <c r="B47" s="16"/>
      <c r="C47" s="3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21">
      <c r="A48" s="16"/>
      <c r="B48" s="16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A49" s="16"/>
      <c r="B49" s="16"/>
      <c r="C49" s="3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s="16"/>
      <c r="B50" s="16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>
      <c r="A51" s="16"/>
      <c r="B51" s="16"/>
      <c r="C51" s="3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A52" s="16"/>
      <c r="B52" s="16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A53" s="16"/>
      <c r="B53" s="16"/>
      <c r="C53" s="3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A54" s="16"/>
      <c r="B54" s="16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A55" s="16"/>
      <c r="B55" s="16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A56" s="16"/>
      <c r="B56" s="16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>
      <c r="A57" s="16"/>
      <c r="B57" s="16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</sheetData>
  <sheetProtection algorithmName="SHA-512" hashValue="5U3efw1U1MjJmotdaevwjVw5wqRgFOpq7AVQ4pLNryBxMeUouiv+hjkbg4Hdu0wac5RbnnsLj7KJhKF2JPOHoQ==" saltValue="moMu1bxIZqVSfx2DR5hvaA==" spinCount="100000" sheet="1" objects="1" scenarios="1"/>
  <mergeCells count="6">
    <mergeCell ref="T25:T27"/>
    <mergeCell ref="U25:U27"/>
    <mergeCell ref="R33:R35"/>
    <mergeCell ref="S33:S35"/>
    <mergeCell ref="R36:R39"/>
    <mergeCell ref="S36:S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B36A-54F6-44B5-8EF3-A37756875296}">
  <dimension ref="A1:S24"/>
  <sheetViews>
    <sheetView showGridLines="0" zoomScale="118" zoomScaleNormal="118" workbookViewId="0">
      <selection activeCell="L14" sqref="L14"/>
    </sheetView>
  </sheetViews>
  <sheetFormatPr defaultColWidth="9.140625" defaultRowHeight="15"/>
  <cols>
    <col min="1" max="1" width="8.42578125" style="45" customWidth="1"/>
    <col min="2" max="2" width="19.5703125" style="45" customWidth="1"/>
    <col min="3" max="3" width="28.28515625" style="45" customWidth="1"/>
    <col min="4" max="4" width="15.85546875" style="45" customWidth="1"/>
    <col min="5" max="5" width="30.140625" style="45" customWidth="1"/>
    <col min="6" max="6" width="12.5703125" style="45" customWidth="1"/>
    <col min="7" max="7" width="27.140625" style="45" hidden="1" customWidth="1"/>
    <col min="8" max="8" width="0" style="45" hidden="1" customWidth="1"/>
    <col min="9" max="16384" width="9.140625" style="45"/>
  </cols>
  <sheetData>
    <row r="1" spans="1:19" customFormat="1">
      <c r="A1" s="186" t="s">
        <v>173</v>
      </c>
      <c r="B1" s="140"/>
      <c r="C1" s="140"/>
      <c r="D1" s="140"/>
      <c r="E1" s="140"/>
      <c r="F1" s="140"/>
    </row>
    <row r="2" spans="1:19" customFormat="1" ht="30" customHeight="1">
      <c r="A2" s="272" t="s">
        <v>174</v>
      </c>
      <c r="B2" s="272"/>
      <c r="C2" s="272"/>
      <c r="D2" s="272"/>
      <c r="E2" s="272"/>
      <c r="F2" s="272"/>
    </row>
    <row r="3" spans="1:19" customFormat="1">
      <c r="A3" s="105"/>
      <c r="B3" s="105"/>
      <c r="C3" s="105"/>
      <c r="D3" s="105"/>
      <c r="E3" s="105"/>
      <c r="F3" s="105"/>
    </row>
    <row r="4" spans="1:19" s="9" customFormat="1" ht="60">
      <c r="A4" s="187"/>
      <c r="B4" s="193" t="s">
        <v>175</v>
      </c>
      <c r="C4" s="193" t="s">
        <v>176</v>
      </c>
      <c r="D4" s="193" t="s">
        <v>177</v>
      </c>
      <c r="E4" s="200" t="s">
        <v>178</v>
      </c>
      <c r="F4" s="190"/>
      <c r="G4" s="48" t="s">
        <v>179</v>
      </c>
    </row>
    <row r="5" spans="1:19" customFormat="1">
      <c r="A5" s="105"/>
      <c r="B5" s="140"/>
      <c r="C5" s="140"/>
      <c r="D5" s="140"/>
      <c r="E5" s="101"/>
      <c r="F5" s="105"/>
    </row>
    <row r="6" spans="1:19">
      <c r="A6" s="105"/>
      <c r="B6" s="194" t="s">
        <v>180</v>
      </c>
      <c r="C6" s="46"/>
      <c r="D6" s="198">
        <f>(G6*C6)/1000</f>
        <v>0</v>
      </c>
      <c r="E6" s="201">
        <v>0.36840000000000001</v>
      </c>
      <c r="F6" s="191"/>
      <c r="G6" s="19">
        <v>0</v>
      </c>
      <c r="H6" s="19">
        <f t="shared" ref="H6:H11" si="0">G6*E6</f>
        <v>0</v>
      </c>
      <c r="I6"/>
      <c r="J6"/>
      <c r="K6"/>
      <c r="L6"/>
      <c r="M6"/>
      <c r="N6"/>
      <c r="O6"/>
      <c r="P6"/>
      <c r="Q6"/>
      <c r="R6"/>
      <c r="S6"/>
    </row>
    <row r="7" spans="1:19">
      <c r="A7" s="105"/>
      <c r="B7" s="195" t="s">
        <v>181</v>
      </c>
      <c r="C7" s="46"/>
      <c r="D7" s="198">
        <f>(G7*C7)/1000</f>
        <v>0</v>
      </c>
      <c r="E7" s="202">
        <v>9.4299999999999995E-2</v>
      </c>
      <c r="F7" s="191"/>
      <c r="G7" s="19">
        <v>932.3</v>
      </c>
      <c r="H7" s="19">
        <f t="shared" si="0"/>
        <v>87.91588999999999</v>
      </c>
      <c r="I7"/>
      <c r="J7"/>
      <c r="K7"/>
      <c r="L7"/>
      <c r="M7"/>
      <c r="N7"/>
      <c r="O7"/>
      <c r="P7"/>
      <c r="Q7"/>
      <c r="R7"/>
      <c r="S7"/>
    </row>
    <row r="8" spans="1:19">
      <c r="A8" s="105"/>
      <c r="B8" s="195" t="s">
        <v>34</v>
      </c>
      <c r="C8" s="46"/>
      <c r="D8" s="198">
        <f t="shared" ref="D8:D10" si="1">(G8*C8)/1000</f>
        <v>0</v>
      </c>
      <c r="E8" s="202">
        <v>0.46920000000000001</v>
      </c>
      <c r="F8" s="191"/>
      <c r="G8" s="19">
        <v>369.6</v>
      </c>
      <c r="H8" s="19">
        <f t="shared" si="0"/>
        <v>173.41632000000001</v>
      </c>
      <c r="I8"/>
      <c r="J8"/>
      <c r="K8"/>
      <c r="L8"/>
      <c r="M8"/>
      <c r="N8"/>
      <c r="O8"/>
      <c r="P8"/>
      <c r="Q8"/>
      <c r="R8"/>
      <c r="S8"/>
    </row>
    <row r="9" spans="1:19">
      <c r="A9" s="105"/>
      <c r="B9" s="195" t="s">
        <v>182</v>
      </c>
      <c r="C9" s="46"/>
      <c r="D9" s="198">
        <f t="shared" si="1"/>
        <v>0</v>
      </c>
      <c r="E9" s="202">
        <v>2.01E-2</v>
      </c>
      <c r="F9" s="191"/>
      <c r="G9" s="19">
        <v>674.1</v>
      </c>
      <c r="H9" s="19">
        <f t="shared" si="0"/>
        <v>13.54941</v>
      </c>
      <c r="I9"/>
      <c r="J9"/>
      <c r="K9"/>
      <c r="L9"/>
      <c r="M9"/>
      <c r="N9"/>
      <c r="O9"/>
      <c r="P9"/>
      <c r="Q9"/>
      <c r="R9"/>
      <c r="S9"/>
    </row>
    <row r="10" spans="1:19">
      <c r="A10" s="105"/>
      <c r="B10" s="195" t="s">
        <v>183</v>
      </c>
      <c r="C10" s="46"/>
      <c r="D10" s="198">
        <f t="shared" si="1"/>
        <v>0</v>
      </c>
      <c r="E10" s="202">
        <v>0</v>
      </c>
      <c r="F10" s="191"/>
      <c r="G10" s="19">
        <v>12</v>
      </c>
      <c r="H10" s="19">
        <f t="shared" si="0"/>
        <v>0</v>
      </c>
      <c r="I10"/>
      <c r="J10"/>
      <c r="K10"/>
      <c r="L10"/>
      <c r="M10"/>
      <c r="N10"/>
      <c r="O10"/>
      <c r="P10"/>
      <c r="Q10"/>
      <c r="R10"/>
      <c r="S10"/>
    </row>
    <row r="11" spans="1:19">
      <c r="A11" s="105"/>
      <c r="B11" s="195" t="s">
        <v>184</v>
      </c>
      <c r="C11" s="46"/>
      <c r="D11" s="199">
        <f>(((G6*C6)+(G7*C7)+(G8*C8)+(G9*C9)+(G10*C10))*C11)/1000</f>
        <v>0</v>
      </c>
      <c r="E11" s="202">
        <v>4.8000000000000001E-2</v>
      </c>
      <c r="F11" s="191"/>
      <c r="G11" s="52">
        <f>((G6*E6)+(G7*E7)+(G8*E8)+(G9*E9)+(G10*E10))</f>
        <v>274.88162000000005</v>
      </c>
      <c r="H11" s="19">
        <f t="shared" si="0"/>
        <v>13.194317760000002</v>
      </c>
      <c r="I11"/>
      <c r="J11"/>
      <c r="K11"/>
      <c r="L11"/>
      <c r="M11"/>
      <c r="N11"/>
      <c r="O11"/>
      <c r="P11"/>
      <c r="Q11"/>
      <c r="R11"/>
      <c r="S11"/>
    </row>
    <row r="12" spans="1:19">
      <c r="A12" s="105"/>
      <c r="B12" s="140"/>
      <c r="C12" s="140"/>
      <c r="D12" s="140"/>
      <c r="E12" s="101"/>
      <c r="F12" s="105"/>
      <c r="G12"/>
      <c r="H12"/>
      <c r="I12"/>
      <c r="J12"/>
      <c r="K12"/>
      <c r="L12"/>
      <c r="M12"/>
      <c r="N12"/>
      <c r="O12"/>
      <c r="P12"/>
      <c r="Q12"/>
      <c r="R12"/>
    </row>
    <row r="13" spans="1:19" s="47" customFormat="1">
      <c r="A13" s="188"/>
      <c r="B13" s="196" t="s">
        <v>185</v>
      </c>
      <c r="C13" s="197">
        <f>SUM(C6:C11)</f>
        <v>0</v>
      </c>
      <c r="D13" s="196"/>
      <c r="E13" s="203"/>
      <c r="F13" s="192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9">
      <c r="A14" s="105"/>
      <c r="B14" s="105"/>
      <c r="C14" s="105"/>
      <c r="D14" s="189"/>
      <c r="E14" s="105"/>
      <c r="F14" s="105"/>
      <c r="G14"/>
      <c r="H14"/>
      <c r="I14"/>
      <c r="J14"/>
      <c r="K14"/>
      <c r="L14"/>
      <c r="M14"/>
      <c r="N14"/>
      <c r="O14"/>
      <c r="P14"/>
      <c r="Q14"/>
      <c r="R14"/>
    </row>
    <row r="15" spans="1:19" ht="45">
      <c r="A15" s="105"/>
      <c r="B15" s="105"/>
      <c r="C15" s="105"/>
      <c r="D15" s="205" t="s">
        <v>186</v>
      </c>
      <c r="E15" s="105"/>
      <c r="F15" s="105"/>
      <c r="G15"/>
      <c r="H15"/>
      <c r="I15"/>
      <c r="J15"/>
      <c r="K15"/>
      <c r="L15"/>
      <c r="M15"/>
      <c r="N15"/>
      <c r="O15"/>
      <c r="P15"/>
      <c r="Q15"/>
      <c r="R15"/>
    </row>
    <row r="16" spans="1:19">
      <c r="A16" s="105"/>
      <c r="B16" s="105"/>
      <c r="C16" s="105"/>
      <c r="D16" s="204">
        <f>SUM(D6:D11)</f>
        <v>0</v>
      </c>
      <c r="E16" s="105"/>
      <c r="F16" s="105"/>
      <c r="G16"/>
      <c r="H16"/>
      <c r="I16"/>
      <c r="J16"/>
      <c r="K16"/>
      <c r="L16"/>
      <c r="M16"/>
      <c r="N16"/>
      <c r="O16"/>
      <c r="P16"/>
      <c r="Q16"/>
      <c r="R16"/>
    </row>
    <row r="17" spans="1:18">
      <c r="A17" s="105"/>
      <c r="B17" s="105"/>
      <c r="C17" s="105"/>
      <c r="D17" s="105"/>
      <c r="E17" s="105"/>
      <c r="F17" s="105"/>
      <c r="G17"/>
      <c r="H17"/>
      <c r="I17"/>
      <c r="J17"/>
      <c r="K17"/>
      <c r="L17"/>
      <c r="M17"/>
      <c r="N17"/>
      <c r="O17"/>
      <c r="P17"/>
      <c r="Q17"/>
      <c r="R17"/>
    </row>
    <row r="18" spans="1:18">
      <c r="A18" s="49"/>
      <c r="B18" s="49"/>
      <c r="C18" s="51" t="s">
        <v>187</v>
      </c>
      <c r="D18" s="51">
        <v>0.28899999999999998</v>
      </c>
      <c r="E18" s="49"/>
      <c r="F18" s="49"/>
      <c r="G18"/>
      <c r="H18"/>
      <c r="I18"/>
      <c r="J18"/>
      <c r="K18"/>
      <c r="L18"/>
      <c r="M18"/>
      <c r="N18"/>
      <c r="O18"/>
      <c r="P18"/>
      <c r="Q18"/>
      <c r="R18"/>
    </row>
    <row r="19" spans="1:18">
      <c r="A19"/>
      <c r="B19"/>
    </row>
    <row r="20" spans="1:18">
      <c r="A20"/>
      <c r="B20"/>
    </row>
    <row r="21" spans="1:18">
      <c r="A21"/>
      <c r="B21"/>
    </row>
    <row r="22" spans="1:18">
      <c r="A22"/>
      <c r="B22"/>
    </row>
    <row r="23" spans="1:18">
      <c r="A23"/>
      <c r="B23"/>
    </row>
    <row r="24" spans="1:18">
      <c r="A24"/>
      <c r="B24"/>
    </row>
  </sheetData>
  <sheetProtection algorithmName="SHA-512" hashValue="M0Hm4mXmrC9W8EMLpktm38tmpidwlaY3691tMaVguKnO44iIkACGu+MEAX0EDLUUdQTzz+QW0qtBCaFZNScF5g==" saltValue="xEEFDI0PA2Zhdv/LOXMkJA==" spinCount="100000" sheet="1" objects="1" scenarios="1"/>
  <mergeCells count="1">
    <mergeCell ref="A2:F2"/>
  </mergeCells>
  <conditionalFormatting sqref="C13">
    <cfRule type="cellIs" dxfId="42" priority="1" operator="equal">
      <formula>1</formula>
    </cfRule>
  </conditionalFormatting>
  <conditionalFormatting sqref="E13:F13">
    <cfRule type="cellIs" dxfId="41" priority="2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Ulrich Eberhard Prechsl (IDM Südtirol)</dc:creator>
  <cp:keywords/>
  <dc:description/>
  <cp:lastModifiedBy/>
  <cp:revision/>
  <dcterms:created xsi:type="dcterms:W3CDTF">2024-07-01T14:12:57Z</dcterms:created>
  <dcterms:modified xsi:type="dcterms:W3CDTF">2024-10-24T06:13:35Z</dcterms:modified>
  <cp:category/>
  <cp:contentStatus/>
</cp:coreProperties>
</file>